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C:\Users\cbowman\Desktop\"/>
    </mc:Choice>
  </mc:AlternateContent>
  <xr:revisionPtr revIDLastSave="0" documentId="8_{E67AF851-BFBC-40AB-9C38-5303EEED3710}" xr6:coauthVersionLast="47" xr6:coauthVersionMax="47" xr10:uidLastSave="{00000000-0000-0000-0000-000000000000}"/>
  <workbookProtection workbookAlgorithmName="SHA-512" workbookHashValue="sJCW0zvq5NDfDnYv1bHSbE+FcaGzcCM3v7Fyc37ZzFqigsThEKiNVL0/QadqTiYJx1HrDRjneDGEmSrryHVaAw==" workbookSaltValue="7DM3G5mvpOifM2L9zNesLA==" workbookSpinCount="100000" lockStructure="1"/>
  <bookViews>
    <workbookView xWindow="-108" yWindow="-108" windowWidth="41496" windowHeight="16896" tabRatio="622" firstSheet="2" activeTab="8" xr2:uid="{00000000-000D-0000-FFFF-FFFF00000000}"/>
  </bookViews>
  <sheets>
    <sheet name="Do not use" sheetId="44" state="hidden" r:id="rId1"/>
    <sheet name="Rev Change Ntes" sheetId="45" state="hidden" r:id="rId2"/>
    <sheet name="Summary" sheetId="29" r:id="rId3"/>
    <sheet name="SuitabilityAnalysis" sheetId="30" r:id="rId4"/>
    <sheet name="SupportSpaces" sheetId="31" r:id="rId5"/>
    <sheet name="Career Education" sheetId="32" r:id="rId6"/>
    <sheet name="RequiredSpaces" sheetId="24" state="hidden" r:id="rId7"/>
    <sheet name="Career Ed Markout" sheetId="47" state="hidden" r:id="rId8"/>
    <sheet name="Space Note" sheetId="46" r:id="rId9"/>
    <sheet name="Average Means" sheetId="33" state="hidden" r:id="rId10"/>
    <sheet name="Decommissioning" sheetId="23" state="hidden" r:id="rId11"/>
    <sheet name="Data" sheetId="34" state="hidden" r:id="rId12"/>
    <sheet name="Conversions" sheetId="35" state="hidden" r:id="rId13"/>
    <sheet name="SQFTG " sheetId="38" state="hidden" r:id="rId14"/>
    <sheet name="ENROLLMENT" sheetId="39" state="hidden" r:id="rId15"/>
    <sheet name="SUITABILITY" sheetId="40" state="hidden" r:id="rId16"/>
    <sheet name="DEPRECIATION AVERAGE" sheetId="41" state="hidden" r:id="rId17"/>
    <sheet name="NEW SCHOOL Average Means" sheetId="43" state="hidden" r:id="rId18"/>
    <sheet name="New school sheet" sheetId="42" state="hidden" r:id="rId19"/>
  </sheets>
  <externalReferences>
    <externalReference r:id="rId20"/>
    <externalReference r:id="rId21"/>
    <externalReference r:id="rId22"/>
  </externalReferences>
  <definedNames>
    <definedName name="_736" localSheetId="7">#REF!</definedName>
    <definedName name="_736" localSheetId="14">ENROLLMENT!#REF!</definedName>
    <definedName name="_736">#REF!</definedName>
    <definedName name="_739" localSheetId="7">#REF!</definedName>
    <definedName name="_739" localSheetId="14">ENROLLMENT!#REF!</definedName>
    <definedName name="_739">#REF!</definedName>
    <definedName name="_748" localSheetId="7">#REF!</definedName>
    <definedName name="_748" localSheetId="14">ENROLLMENT!#REF!</definedName>
    <definedName name="_748">#REF!</definedName>
    <definedName name="_749" localSheetId="7">#REF!</definedName>
    <definedName name="_749" localSheetId="14">ENROLLMENT!#REF!</definedName>
    <definedName name="_749">#REF!</definedName>
    <definedName name="_750" localSheetId="14">ENROLLMENT!#REF!</definedName>
    <definedName name="_750">#REF!</definedName>
    <definedName name="_751" localSheetId="14">ENROLLMENT!#REF!</definedName>
    <definedName name="_751">#REF!</definedName>
    <definedName name="_752" localSheetId="14">ENROLLMENT!#REF!</definedName>
    <definedName name="_752">#REF!</definedName>
    <definedName name="_753" localSheetId="14">ENROLLMENT!#REF!</definedName>
    <definedName name="_753">#REF!</definedName>
    <definedName name="_754" localSheetId="14">ENROLLMENT!#REF!</definedName>
    <definedName name="_754">#REF!</definedName>
    <definedName name="_755" localSheetId="14">ENROLLMENT!#REF!</definedName>
    <definedName name="_755">#REF!</definedName>
    <definedName name="_xlnm._FilterDatabase" localSheetId="5" hidden="1">'Career Education'!$A$183:$H$184</definedName>
    <definedName name="_xlnm.Print_Area" localSheetId="7">'Career Ed Markout'!$A$1:$J$242</definedName>
    <definedName name="_xlnm.Print_Area" localSheetId="5">'Career Education'!$A$1:$J$191</definedName>
    <definedName name="_xlnm.Print_Area" localSheetId="0">'Do not use'!$A$1:$E$26</definedName>
    <definedName name="_xlnm.Print_Area" localSheetId="6">RequiredSpaces!$A$1:$H$35</definedName>
    <definedName name="_xlnm.Print_Area" localSheetId="2">Summary!$A$1:$M$130</definedName>
    <definedName name="_xlnm.Print_Area" localSheetId="4">SupportSpaces!$A$1:$E$159</definedName>
    <definedName name="_xlnm.Print_Titles" localSheetId="7">'Career Ed Markout'!$1:$7</definedName>
    <definedName name="_xlnm.Print_Titles" localSheetId="5">'Career Education'!$1:$7</definedName>
    <definedName name="_xlnm.Print_Titles" localSheetId="0">'Do not use'!$1:$1</definedName>
    <definedName name="_xlnm.Print_Titles" localSheetId="2">Summary!$1:$4</definedName>
    <definedName name="_xlnm.Print_Titles" localSheetId="4">SupportSpaces!$1:$6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 i="24" l="1"/>
  <c r="B16" i="24"/>
  <c r="H242" i="47" l="1"/>
  <c r="G242" i="47"/>
  <c r="F242" i="47"/>
  <c r="E242" i="47"/>
  <c r="J239" i="47"/>
  <c r="I239" i="47"/>
  <c r="J238" i="47"/>
  <c r="I238" i="47"/>
  <c r="J237" i="47"/>
  <c r="I237" i="47"/>
  <c r="J234" i="47"/>
  <c r="I234" i="47"/>
  <c r="K231" i="47"/>
  <c r="J231" i="47"/>
  <c r="I231" i="47"/>
  <c r="J228" i="47"/>
  <c r="I228" i="47"/>
  <c r="K227" i="47"/>
  <c r="J227" i="47"/>
  <c r="I227" i="47"/>
  <c r="J224" i="47"/>
  <c r="I224" i="47"/>
  <c r="K221" i="47"/>
  <c r="J221" i="47"/>
  <c r="I221" i="47"/>
  <c r="J217" i="47"/>
  <c r="I217" i="47"/>
  <c r="J216" i="47"/>
  <c r="I216" i="47"/>
  <c r="J215" i="47"/>
  <c r="I215" i="47"/>
  <c r="J212" i="47"/>
  <c r="I212" i="47"/>
  <c r="J209" i="47"/>
  <c r="I209" i="47"/>
  <c r="J206" i="47"/>
  <c r="I206" i="47"/>
  <c r="J203" i="47"/>
  <c r="I203" i="47"/>
  <c r="J199" i="47"/>
  <c r="I199" i="47"/>
  <c r="J198" i="47"/>
  <c r="I198" i="47"/>
  <c r="J197" i="47"/>
  <c r="I197" i="47"/>
  <c r="J194" i="47"/>
  <c r="I194" i="47"/>
  <c r="J191" i="47"/>
  <c r="I191" i="47"/>
  <c r="J188" i="47"/>
  <c r="I188" i="47"/>
  <c r="J185" i="47"/>
  <c r="I185" i="47"/>
  <c r="J182" i="47"/>
  <c r="I182" i="47"/>
  <c r="J179" i="47"/>
  <c r="I179" i="47"/>
  <c r="J175" i="47"/>
  <c r="I175" i="47"/>
  <c r="J174" i="47"/>
  <c r="I174" i="47"/>
  <c r="J173" i="47"/>
  <c r="I173" i="47"/>
  <c r="J170" i="47"/>
  <c r="I170" i="47"/>
  <c r="J166" i="47"/>
  <c r="I166" i="47"/>
  <c r="J165" i="47"/>
  <c r="I165" i="47"/>
  <c r="J164" i="47"/>
  <c r="I164" i="47"/>
  <c r="J161" i="47"/>
  <c r="I161" i="47"/>
  <c r="J157" i="47"/>
  <c r="I157" i="47"/>
  <c r="J156" i="47"/>
  <c r="I156" i="47"/>
  <c r="J155" i="47"/>
  <c r="I155" i="47"/>
  <c r="J152" i="47"/>
  <c r="I152" i="47"/>
  <c r="J148" i="47"/>
  <c r="I148" i="47"/>
  <c r="J147" i="47"/>
  <c r="I147" i="47"/>
  <c r="J146" i="47"/>
  <c r="I146" i="47"/>
  <c r="J143" i="47"/>
  <c r="I143" i="47"/>
  <c r="J140" i="47"/>
  <c r="I140" i="47"/>
  <c r="J139" i="47"/>
  <c r="I139" i="47"/>
  <c r="J138" i="47"/>
  <c r="I138" i="47"/>
  <c r="J135" i="47"/>
  <c r="I135" i="47"/>
  <c r="J132" i="47"/>
  <c r="I132" i="47"/>
  <c r="J131" i="47"/>
  <c r="I131" i="47"/>
  <c r="J128" i="47"/>
  <c r="I128" i="47"/>
  <c r="J125" i="47"/>
  <c r="I125" i="47"/>
  <c r="J120" i="47"/>
  <c r="I120" i="47"/>
  <c r="J119" i="47"/>
  <c r="I119" i="47"/>
  <c r="J118" i="47"/>
  <c r="I118" i="47"/>
  <c r="J115" i="47"/>
  <c r="I115" i="47"/>
  <c r="J112" i="47"/>
  <c r="I112" i="47"/>
  <c r="J108" i="47"/>
  <c r="I108" i="47"/>
  <c r="J107" i="47"/>
  <c r="I107" i="47"/>
  <c r="J106" i="47"/>
  <c r="I106" i="47"/>
  <c r="J103" i="47"/>
  <c r="I103" i="47"/>
  <c r="J102" i="47"/>
  <c r="I102" i="47"/>
  <c r="J95" i="47"/>
  <c r="I95" i="47"/>
  <c r="J92" i="47"/>
  <c r="I92" i="47"/>
  <c r="J91" i="47"/>
  <c r="I91" i="47"/>
  <c r="J88" i="47"/>
  <c r="I88" i="47"/>
  <c r="J85" i="47"/>
  <c r="I85" i="47"/>
  <c r="J84" i="47"/>
  <c r="I84" i="47"/>
  <c r="J81" i="47"/>
  <c r="I81" i="47"/>
  <c r="J78" i="47"/>
  <c r="I78" i="47"/>
  <c r="J75" i="47"/>
  <c r="I75" i="47"/>
  <c r="J74" i="47"/>
  <c r="I74" i="47"/>
  <c r="J73" i="47"/>
  <c r="I73" i="47"/>
  <c r="J72" i="47"/>
  <c r="I72" i="47"/>
  <c r="J71" i="47"/>
  <c r="I71" i="47"/>
  <c r="J68" i="47"/>
  <c r="I68" i="47"/>
  <c r="J67" i="47"/>
  <c r="I67" i="47"/>
  <c r="J66" i="47"/>
  <c r="I66" i="47"/>
  <c r="J63" i="47"/>
  <c r="I63" i="47"/>
  <c r="J60" i="47"/>
  <c r="I60" i="47"/>
  <c r="J57" i="47"/>
  <c r="I57" i="47"/>
  <c r="J54" i="47"/>
  <c r="I54" i="47"/>
  <c r="J51" i="47"/>
  <c r="I51" i="47"/>
  <c r="J48" i="47"/>
  <c r="I48" i="47"/>
  <c r="J45" i="47"/>
  <c r="I45" i="47"/>
  <c r="J42" i="47"/>
  <c r="I42" i="47"/>
  <c r="J39" i="47"/>
  <c r="I39" i="47"/>
  <c r="J36" i="47"/>
  <c r="I36" i="47"/>
  <c r="J32" i="47"/>
  <c r="I32" i="47"/>
  <c r="J31" i="47"/>
  <c r="I31" i="47"/>
  <c r="J30" i="47"/>
  <c r="I30" i="47"/>
  <c r="J29" i="47"/>
  <c r="I29" i="47"/>
  <c r="J26" i="47"/>
  <c r="I26" i="47"/>
  <c r="J23" i="47"/>
  <c r="I23" i="47"/>
  <c r="J22" i="47"/>
  <c r="I22" i="47"/>
  <c r="J21" i="47"/>
  <c r="I21" i="47"/>
  <c r="J20" i="47"/>
  <c r="I20" i="47"/>
  <c r="J17" i="47"/>
  <c r="I17" i="47"/>
  <c r="J14" i="47"/>
  <c r="I14" i="47"/>
  <c r="J13" i="47"/>
  <c r="I13" i="47"/>
  <c r="J10" i="47"/>
  <c r="I10" i="47"/>
  <c r="C4" i="47"/>
  <c r="C3" i="47"/>
  <c r="C2" i="47"/>
  <c r="C1" i="47"/>
  <c r="I242" i="47" l="1"/>
  <c r="J242" i="47"/>
  <c r="J56" i="32"/>
  <c r="J57" i="32"/>
  <c r="J58" i="32"/>
  <c r="J102" i="32"/>
  <c r="J105" i="32"/>
  <c r="J108" i="32"/>
  <c r="I108" i="32"/>
  <c r="I105" i="32"/>
  <c r="I58" i="32"/>
  <c r="I57" i="32"/>
  <c r="I56" i="32"/>
  <c r="J184" i="32"/>
  <c r="I184" i="32"/>
  <c r="J183" i="32"/>
  <c r="I183" i="32"/>
  <c r="H190" i="32"/>
  <c r="I69" i="29" s="1"/>
  <c r="G190" i="32"/>
  <c r="H69" i="29" s="1"/>
  <c r="F190" i="32"/>
  <c r="G69" i="29" s="1"/>
  <c r="E190" i="32"/>
  <c r="F69" i="29" s="1"/>
  <c r="B15" i="24" s="1"/>
  <c r="J180" i="32"/>
  <c r="I180" i="32"/>
  <c r="J177" i="32"/>
  <c r="I177" i="32"/>
  <c r="J174" i="32"/>
  <c r="I174" i="32"/>
  <c r="J171" i="32"/>
  <c r="I171" i="32"/>
  <c r="J168" i="32"/>
  <c r="I168" i="32"/>
  <c r="J164" i="32"/>
  <c r="I164" i="32"/>
  <c r="J161" i="32"/>
  <c r="I161" i="32"/>
  <c r="J158" i="32"/>
  <c r="I158" i="32"/>
  <c r="J155" i="32"/>
  <c r="I155" i="32"/>
  <c r="J151" i="32"/>
  <c r="I151" i="32"/>
  <c r="J148" i="32"/>
  <c r="I148" i="32"/>
  <c r="J145" i="32"/>
  <c r="I145" i="32"/>
  <c r="J142" i="32"/>
  <c r="I142" i="32"/>
  <c r="J139" i="32"/>
  <c r="I139" i="32"/>
  <c r="J135" i="32"/>
  <c r="I135" i="32"/>
  <c r="J131" i="32"/>
  <c r="I131" i="32"/>
  <c r="J128" i="32"/>
  <c r="I128" i="32"/>
  <c r="J125" i="32"/>
  <c r="I125" i="32"/>
  <c r="J122" i="32"/>
  <c r="I122" i="32"/>
  <c r="J118" i="32"/>
  <c r="I118" i="32"/>
  <c r="J114" i="32"/>
  <c r="I114" i="32"/>
  <c r="J111" i="32"/>
  <c r="I111" i="32"/>
  <c r="J98" i="32"/>
  <c r="I98" i="32"/>
  <c r="J95" i="32"/>
  <c r="I95" i="32"/>
  <c r="J92" i="32"/>
  <c r="I92" i="32"/>
  <c r="J89" i="32"/>
  <c r="I89" i="32"/>
  <c r="J86" i="32"/>
  <c r="I86" i="32"/>
  <c r="J83" i="32"/>
  <c r="I83" i="32"/>
  <c r="J78" i="32"/>
  <c r="I78" i="32"/>
  <c r="J77" i="32"/>
  <c r="I77" i="32"/>
  <c r="J74" i="32"/>
  <c r="I74" i="32"/>
  <c r="J71" i="32"/>
  <c r="I71" i="32"/>
  <c r="J68" i="32"/>
  <c r="I68" i="32"/>
  <c r="J65" i="32"/>
  <c r="I65" i="32"/>
  <c r="J62" i="32"/>
  <c r="I62" i="32"/>
  <c r="J61" i="32"/>
  <c r="I61" i="32"/>
  <c r="J52" i="32"/>
  <c r="I52" i="32"/>
  <c r="J49" i="32"/>
  <c r="I49" i="32"/>
  <c r="J46" i="32"/>
  <c r="I46" i="32"/>
  <c r="J43" i="32"/>
  <c r="I43" i="32"/>
  <c r="J40" i="32"/>
  <c r="I40" i="32"/>
  <c r="J37" i="32"/>
  <c r="I37" i="32"/>
  <c r="J34" i="32"/>
  <c r="I34" i="32"/>
  <c r="J31" i="32"/>
  <c r="I31" i="32"/>
  <c r="J28" i="32"/>
  <c r="I28" i="32"/>
  <c r="J24" i="32"/>
  <c r="I24" i="32"/>
  <c r="J21" i="32"/>
  <c r="I21" i="32"/>
  <c r="J18" i="32"/>
  <c r="I18" i="32"/>
  <c r="J15" i="32"/>
  <c r="I15" i="32"/>
  <c r="J14" i="32"/>
  <c r="I14" i="32"/>
  <c r="J11" i="32"/>
  <c r="I11" i="32"/>
  <c r="C18" i="33"/>
  <c r="L14" i="24"/>
  <c r="L16" i="24"/>
  <c r="P86" i="29"/>
  <c r="B15" i="33"/>
  <c r="D15" i="24"/>
  <c r="C14" i="24"/>
  <c r="B14" i="24"/>
  <c r="E14" i="24" s="1"/>
  <c r="B4" i="43"/>
  <c r="B5" i="43"/>
  <c r="B6" i="43"/>
  <c r="B8" i="43"/>
  <c r="B9" i="43"/>
  <c r="G25" i="43"/>
  <c r="G28" i="43" s="1"/>
  <c r="B28" i="43"/>
  <c r="B31" i="43"/>
  <c r="A3" i="42"/>
  <c r="B3" i="42"/>
  <c r="A4" i="42"/>
  <c r="B4" i="42"/>
  <c r="A5" i="42"/>
  <c r="B5" i="42"/>
  <c r="A6" i="42"/>
  <c r="B6" i="42"/>
  <c r="B8" i="42"/>
  <c r="B9" i="42"/>
  <c r="F20" i="42"/>
  <c r="B1" i="41"/>
  <c r="B2" i="41"/>
  <c r="B3" i="41"/>
  <c r="B4" i="41"/>
  <c r="B5" i="41"/>
  <c r="D9" i="41"/>
  <c r="D10" i="41"/>
  <c r="D11" i="41"/>
  <c r="D12" i="41"/>
  <c r="D13" i="41"/>
  <c r="D14" i="41"/>
  <c r="D15" i="41"/>
  <c r="D16" i="41"/>
  <c r="D17" i="41"/>
  <c r="D18" i="41"/>
  <c r="D19" i="41"/>
  <c r="B20" i="41"/>
  <c r="B1" i="40"/>
  <c r="B2" i="40"/>
  <c r="B3" i="40"/>
  <c r="B4" i="40"/>
  <c r="B5" i="40"/>
  <c r="C19" i="40"/>
  <c r="C24" i="40" s="1"/>
  <c r="D19" i="40"/>
  <c r="D24" i="40" s="1"/>
  <c r="E19" i="40"/>
  <c r="E24" i="40" s="1"/>
  <c r="F19" i="40"/>
  <c r="F24" i="40" s="1"/>
  <c r="B18" i="39"/>
  <c r="C18" i="39"/>
  <c r="D18" i="39"/>
  <c r="E18" i="39"/>
  <c r="F18" i="39"/>
  <c r="G18" i="39"/>
  <c r="H18" i="39"/>
  <c r="I18" i="39"/>
  <c r="J18" i="39"/>
  <c r="K18" i="39"/>
  <c r="L18" i="39"/>
  <c r="M18" i="39"/>
  <c r="B1" i="38"/>
  <c r="B2" i="38"/>
  <c r="B3" i="38"/>
  <c r="B4" i="38"/>
  <c r="B5" i="38"/>
  <c r="C23" i="38"/>
  <c r="D24" i="38"/>
  <c r="C29" i="38"/>
  <c r="B3" i="23"/>
  <c r="B4" i="23"/>
  <c r="B5" i="23"/>
  <c r="B6" i="23"/>
  <c r="B8" i="23"/>
  <c r="B9" i="23"/>
  <c r="B32" i="23"/>
  <c r="B33" i="23" s="1"/>
  <c r="B4" i="33"/>
  <c r="B5" i="33"/>
  <c r="B6" i="33"/>
  <c r="B8" i="33"/>
  <c r="B9" i="33"/>
  <c r="C15" i="33"/>
  <c r="B16" i="33"/>
  <c r="C16" i="33"/>
  <c r="B17" i="33"/>
  <c r="C17" i="33"/>
  <c r="B18" i="33"/>
  <c r="B19" i="33"/>
  <c r="C19" i="33"/>
  <c r="B20" i="33"/>
  <c r="G20" i="33" s="1"/>
  <c r="B21" i="33"/>
  <c r="C21" i="33"/>
  <c r="B22" i="33"/>
  <c r="C22" i="33"/>
  <c r="B23" i="33"/>
  <c r="C23" i="33"/>
  <c r="B24" i="33"/>
  <c r="C24" i="33"/>
  <c r="B28" i="33"/>
  <c r="B31" i="33"/>
  <c r="G31" i="33"/>
  <c r="B3" i="24"/>
  <c r="B4" i="24"/>
  <c r="B5" i="24"/>
  <c r="B6" i="24"/>
  <c r="B8" i="24"/>
  <c r="B9" i="24"/>
  <c r="B17" i="24"/>
  <c r="C17" i="24"/>
  <c r="L17" i="24"/>
  <c r="B18" i="24"/>
  <c r="C18" i="24"/>
  <c r="B19" i="24"/>
  <c r="C19" i="24"/>
  <c r="B20" i="24"/>
  <c r="C20" i="24"/>
  <c r="B21" i="24"/>
  <c r="E21" i="24" s="1"/>
  <c r="C21" i="24"/>
  <c r="B22" i="24"/>
  <c r="C22" i="24"/>
  <c r="C1" i="32"/>
  <c r="C2" i="32"/>
  <c r="C3" i="32"/>
  <c r="C4" i="32"/>
  <c r="C1" i="31"/>
  <c r="C2" i="31"/>
  <c r="C3" i="31"/>
  <c r="C4" i="31"/>
  <c r="C148" i="31"/>
  <c r="D159" i="31"/>
  <c r="E159" i="31"/>
  <c r="C23" i="24" s="1"/>
  <c r="E23" i="24" s="1"/>
  <c r="B3" i="30"/>
  <c r="B4" i="30"/>
  <c r="B8" i="30"/>
  <c r="D10" i="30"/>
  <c r="D11" i="30"/>
  <c r="D12" i="30"/>
  <c r="D13" i="30"/>
  <c r="B18" i="30"/>
  <c r="B26" i="30"/>
  <c r="B27" i="30"/>
  <c r="G9" i="29"/>
  <c r="D97" i="29" s="1"/>
  <c r="D99" i="29" s="1"/>
  <c r="D12" i="29"/>
  <c r="C10" i="31" s="1"/>
  <c r="M15" i="29"/>
  <c r="M16" i="29"/>
  <c r="M17" i="29"/>
  <c r="M18" i="29"/>
  <c r="D66" i="29" s="1"/>
  <c r="D29" i="29"/>
  <c r="E29" i="29" s="1"/>
  <c r="J29" i="29"/>
  <c r="K29" i="29"/>
  <c r="J30" i="29"/>
  <c r="K30" i="29"/>
  <c r="D31" i="29"/>
  <c r="E31" i="29" s="1"/>
  <c r="J31" i="29"/>
  <c r="K31" i="29"/>
  <c r="D32" i="29"/>
  <c r="J32" i="29"/>
  <c r="K32" i="29"/>
  <c r="D33" i="29"/>
  <c r="E33" i="29" s="1"/>
  <c r="O33" i="29"/>
  <c r="P33" i="29" s="1"/>
  <c r="J33" i="29"/>
  <c r="K33" i="29"/>
  <c r="D34" i="29"/>
  <c r="E34" i="29" s="1"/>
  <c r="J34" i="29"/>
  <c r="K34" i="29"/>
  <c r="D35" i="29"/>
  <c r="E35" i="29" s="1"/>
  <c r="J35" i="29"/>
  <c r="K35" i="29"/>
  <c r="J36" i="29"/>
  <c r="K36" i="29"/>
  <c r="J37" i="29"/>
  <c r="K37" i="29"/>
  <c r="J38" i="29"/>
  <c r="K38" i="29"/>
  <c r="J39" i="29"/>
  <c r="K39" i="29"/>
  <c r="J40" i="29"/>
  <c r="K40" i="29"/>
  <c r="J41" i="29"/>
  <c r="K41" i="29"/>
  <c r="J42" i="29"/>
  <c r="K42" i="29"/>
  <c r="J43" i="29"/>
  <c r="K43" i="29"/>
  <c r="J44" i="29"/>
  <c r="K44" i="29"/>
  <c r="C45" i="29"/>
  <c r="D45" i="29"/>
  <c r="J45" i="29"/>
  <c r="K45" i="29"/>
  <c r="D46" i="29"/>
  <c r="E46" i="29" s="1"/>
  <c r="J46" i="29"/>
  <c r="K46" i="29"/>
  <c r="J47" i="29"/>
  <c r="K47" i="29"/>
  <c r="J48" i="29"/>
  <c r="K48" i="29"/>
  <c r="J49" i="29"/>
  <c r="K49" i="29"/>
  <c r="J50" i="29"/>
  <c r="K50" i="29"/>
  <c r="J51" i="29"/>
  <c r="K51" i="29"/>
  <c r="J52" i="29"/>
  <c r="K52" i="29"/>
  <c r="J53" i="29"/>
  <c r="K53" i="29"/>
  <c r="J54" i="29"/>
  <c r="K54" i="29"/>
  <c r="J55" i="29"/>
  <c r="K55" i="29"/>
  <c r="J56" i="29"/>
  <c r="K56" i="29"/>
  <c r="J57" i="29"/>
  <c r="K57" i="29"/>
  <c r="J58" i="29"/>
  <c r="K58" i="29"/>
  <c r="J59" i="29"/>
  <c r="K59" i="29"/>
  <c r="J60" i="29"/>
  <c r="K60" i="29"/>
  <c r="J61" i="29"/>
  <c r="K61" i="29"/>
  <c r="J62" i="29"/>
  <c r="K62" i="29"/>
  <c r="J63" i="29"/>
  <c r="K63" i="29"/>
  <c r="J64" i="29"/>
  <c r="K64" i="29"/>
  <c r="J65" i="29"/>
  <c r="K65" i="29"/>
  <c r="J66" i="29"/>
  <c r="K66" i="29"/>
  <c r="J67" i="29"/>
  <c r="K67" i="29"/>
  <c r="J68" i="29"/>
  <c r="K68" i="29"/>
  <c r="J73" i="29"/>
  <c r="K73" i="29"/>
  <c r="J74" i="29"/>
  <c r="K74" i="29"/>
  <c r="J75" i="29"/>
  <c r="K75" i="29"/>
  <c r="J76" i="29"/>
  <c r="K76" i="29"/>
  <c r="J77" i="29"/>
  <c r="K77" i="29"/>
  <c r="J78" i="29"/>
  <c r="K78" i="29"/>
  <c r="D79" i="29"/>
  <c r="E79" i="29" s="1"/>
  <c r="J79" i="29"/>
  <c r="K79" i="29"/>
  <c r="E81" i="29"/>
  <c r="J81" i="29"/>
  <c r="L81" i="29" s="1"/>
  <c r="K81" i="29"/>
  <c r="J82" i="29"/>
  <c r="K82" i="29"/>
  <c r="J83" i="29"/>
  <c r="K83" i="29"/>
  <c r="E84" i="29"/>
  <c r="J84" i="29"/>
  <c r="L84" i="29" s="1"/>
  <c r="K84" i="29"/>
  <c r="J85" i="29"/>
  <c r="L85" i="29" s="1"/>
  <c r="K85" i="29"/>
  <c r="M85" i="29" s="1"/>
  <c r="N85" i="29" s="1"/>
  <c r="O85" i="29" s="1"/>
  <c r="P85" i="29" s="1"/>
  <c r="J87" i="29"/>
  <c r="K87" i="29"/>
  <c r="J88" i="29"/>
  <c r="K88" i="29"/>
  <c r="J94" i="29"/>
  <c r="L94" i="29" s="1"/>
  <c r="D17" i="24" s="1"/>
  <c r="K94" i="29"/>
  <c r="D96" i="29"/>
  <c r="J96" i="29"/>
  <c r="K96" i="29"/>
  <c r="J98" i="29"/>
  <c r="K98" i="29"/>
  <c r="J99" i="29"/>
  <c r="K99" i="29"/>
  <c r="J100" i="29"/>
  <c r="K100" i="29"/>
  <c r="J101" i="29"/>
  <c r="K101" i="29"/>
  <c r="J102" i="29"/>
  <c r="K102" i="29"/>
  <c r="J104" i="29"/>
  <c r="L104" i="29" s="1"/>
  <c r="K104" i="29"/>
  <c r="D105" i="29"/>
  <c r="J105" i="29"/>
  <c r="K105" i="29"/>
  <c r="J106" i="29"/>
  <c r="K106" i="29"/>
  <c r="E107" i="29"/>
  <c r="J107" i="29"/>
  <c r="L107" i="29" s="1"/>
  <c r="K107" i="29"/>
  <c r="M107" i="29" s="1"/>
  <c r="N107" i="29" s="1"/>
  <c r="O107" i="29" s="1"/>
  <c r="P107" i="29" s="1"/>
  <c r="E108" i="29"/>
  <c r="J108" i="29"/>
  <c r="L108" i="29" s="1"/>
  <c r="K108" i="29"/>
  <c r="E109" i="29"/>
  <c r="J109" i="29"/>
  <c r="L109" i="29" s="1"/>
  <c r="K109" i="29"/>
  <c r="J110" i="29"/>
  <c r="K110" i="29"/>
  <c r="J111" i="29"/>
  <c r="K111" i="29"/>
  <c r="E112" i="29"/>
  <c r="J112" i="29"/>
  <c r="L112" i="29" s="1"/>
  <c r="K112" i="29"/>
  <c r="E113" i="29"/>
  <c r="J113" i="29"/>
  <c r="L113" i="29" s="1"/>
  <c r="K113" i="29"/>
  <c r="E114" i="29"/>
  <c r="J114" i="29"/>
  <c r="L114" i="29" s="1"/>
  <c r="K114" i="29"/>
  <c r="E115" i="29"/>
  <c r="J115" i="29"/>
  <c r="L115" i="29" s="1"/>
  <c r="K115" i="29"/>
  <c r="O58" i="29"/>
  <c r="P58" i="29" s="1"/>
  <c r="O35" i="29"/>
  <c r="P35" i="29" s="1"/>
  <c r="O49" i="29"/>
  <c r="P49" i="29" s="1"/>
  <c r="C68" i="29"/>
  <c r="O48" i="29"/>
  <c r="P48" i="29" s="1"/>
  <c r="O65" i="29"/>
  <c r="P65" i="29" s="1"/>
  <c r="O56" i="29"/>
  <c r="P56" i="29" s="1"/>
  <c r="O57" i="29"/>
  <c r="P57" i="29" s="1"/>
  <c r="O50" i="29"/>
  <c r="P50" i="29" s="1"/>
  <c r="O53" i="29"/>
  <c r="P53" i="29" s="1"/>
  <c r="O61" i="29"/>
  <c r="P61" i="29" s="1"/>
  <c r="D56" i="29" l="1"/>
  <c r="E56" i="29" s="1"/>
  <c r="M56" i="29" s="1"/>
  <c r="N56" i="29" s="1"/>
  <c r="L46" i="29"/>
  <c r="J190" i="32"/>
  <c r="D50" i="29"/>
  <c r="E50" i="29" s="1"/>
  <c r="M50" i="29" s="1"/>
  <c r="N50" i="29" s="1"/>
  <c r="L31" i="29"/>
  <c r="G16" i="33"/>
  <c r="M112" i="29"/>
  <c r="N112" i="29" s="1"/>
  <c r="O112" i="29" s="1"/>
  <c r="P112" i="29" s="1"/>
  <c r="M115" i="29"/>
  <c r="N115" i="29" s="1"/>
  <c r="O115" i="29" s="1"/>
  <c r="P115" i="29" s="1"/>
  <c r="G21" i="33"/>
  <c r="C25" i="38"/>
  <c r="D70" i="29"/>
  <c r="D44" i="29"/>
  <c r="E44" i="29" s="1"/>
  <c r="M44" i="29" s="1"/>
  <c r="N44" i="29" s="1"/>
  <c r="O44" i="29" s="1"/>
  <c r="P44" i="29" s="1"/>
  <c r="D43" i="29"/>
  <c r="E43" i="29" s="1"/>
  <c r="M43" i="29" s="1"/>
  <c r="N43" i="29" s="1"/>
  <c r="O43" i="29" s="1"/>
  <c r="P43" i="29" s="1"/>
  <c r="D39" i="29"/>
  <c r="E39" i="29" s="1"/>
  <c r="M39" i="29" s="1"/>
  <c r="N39" i="29" s="1"/>
  <c r="O39" i="29" s="1"/>
  <c r="P39" i="29" s="1"/>
  <c r="D41" i="29"/>
  <c r="E41" i="29" s="1"/>
  <c r="M41" i="29" s="1"/>
  <c r="N41" i="29" s="1"/>
  <c r="O41" i="29" s="1"/>
  <c r="P41" i="29" s="1"/>
  <c r="C87" i="29"/>
  <c r="D67" i="29"/>
  <c r="D68" i="29" s="1"/>
  <c r="L68" i="29" s="1"/>
  <c r="D42" i="29"/>
  <c r="E42" i="29" s="1"/>
  <c r="M42" i="29" s="1"/>
  <c r="N42" i="29" s="1"/>
  <c r="O42" i="29" s="1"/>
  <c r="P42" i="29" s="1"/>
  <c r="D87" i="29"/>
  <c r="L87" i="29" s="1"/>
  <c r="D47" i="29"/>
  <c r="D37" i="29"/>
  <c r="E37" i="29" s="1"/>
  <c r="D54" i="29"/>
  <c r="D53" i="29" s="1"/>
  <c r="E53" i="29" s="1"/>
  <c r="M53" i="29" s="1"/>
  <c r="N53" i="29" s="1"/>
  <c r="C60" i="29"/>
  <c r="C88" i="29"/>
  <c r="C65" i="29"/>
  <c r="D65" i="29"/>
  <c r="L65" i="29" s="1"/>
  <c r="G31" i="43"/>
  <c r="G33" i="43" s="1"/>
  <c r="G35" i="43" s="1"/>
  <c r="L96" i="29"/>
  <c r="F14" i="24"/>
  <c r="L99" i="29"/>
  <c r="M81" i="29"/>
  <c r="N81" i="29" s="1"/>
  <c r="O81" i="29" s="1"/>
  <c r="P81" i="29" s="1"/>
  <c r="M29" i="29"/>
  <c r="N29" i="29" s="1"/>
  <c r="O29" i="29" s="1"/>
  <c r="P29" i="29" s="1"/>
  <c r="L47" i="29"/>
  <c r="M37" i="29"/>
  <c r="N37" i="29" s="1"/>
  <c r="O37" i="29" s="1"/>
  <c r="P37" i="29" s="1"/>
  <c r="C101" i="29"/>
  <c r="L105" i="29"/>
  <c r="D76" i="29"/>
  <c r="E76" i="29" s="1"/>
  <c r="M76" i="29" s="1"/>
  <c r="N76" i="29" s="1"/>
  <c r="O76" i="29" s="1"/>
  <c r="P76" i="29" s="1"/>
  <c r="D62" i="29"/>
  <c r="D61" i="29" s="1"/>
  <c r="M114" i="29"/>
  <c r="N114" i="29" s="1"/>
  <c r="O114" i="29" s="1"/>
  <c r="P114" i="29" s="1"/>
  <c r="D40" i="29"/>
  <c r="L40" i="29" s="1"/>
  <c r="M113" i="29"/>
  <c r="N113" i="29" s="1"/>
  <c r="O113" i="29" s="1"/>
  <c r="P113" i="29" s="1"/>
  <c r="C66" i="29"/>
  <c r="E66" i="29" s="1"/>
  <c r="M66" i="29" s="1"/>
  <c r="N66" i="29" s="1"/>
  <c r="O66" i="29" s="1"/>
  <c r="P66" i="29" s="1"/>
  <c r="C100" i="29"/>
  <c r="L32" i="29"/>
  <c r="C104" i="29"/>
  <c r="E104" i="29" s="1"/>
  <c r="M104" i="29" s="1"/>
  <c r="N104" i="29" s="1"/>
  <c r="O104" i="29" s="1"/>
  <c r="P104" i="29" s="1"/>
  <c r="C98" i="29"/>
  <c r="L34" i="29"/>
  <c r="G24" i="33"/>
  <c r="J24" i="29"/>
  <c r="L15" i="24"/>
  <c r="L19" i="24" s="1"/>
  <c r="K69" i="29"/>
  <c r="J23" i="29" s="1"/>
  <c r="C15" i="24"/>
  <c r="C64" i="29"/>
  <c r="G19" i="33"/>
  <c r="D20" i="41"/>
  <c r="B23" i="41" s="1"/>
  <c r="D49" i="29"/>
  <c r="E49" i="29" s="1"/>
  <c r="C47" i="29"/>
  <c r="E47" i="29" s="1"/>
  <c r="M47" i="29" s="1"/>
  <c r="N47" i="29" s="1"/>
  <c r="O47" i="29" s="1"/>
  <c r="P47" i="29" s="1"/>
  <c r="D51" i="29"/>
  <c r="D52" i="29" s="1"/>
  <c r="E52" i="29" s="1"/>
  <c r="M52" i="29" s="1"/>
  <c r="N52" i="29" s="1"/>
  <c r="O52" i="29" s="1"/>
  <c r="P52" i="29" s="1"/>
  <c r="M109" i="29"/>
  <c r="N109" i="29" s="1"/>
  <c r="O109" i="29" s="1"/>
  <c r="P109" i="29" s="1"/>
  <c r="D64" i="29"/>
  <c r="L64" i="29" s="1"/>
  <c r="D98" i="29"/>
  <c r="L98" i="29" s="1"/>
  <c r="D59" i="29"/>
  <c r="E59" i="29" s="1"/>
  <c r="M59" i="29" s="1"/>
  <c r="N59" i="29" s="1"/>
  <c r="O59" i="29" s="1"/>
  <c r="P59" i="29" s="1"/>
  <c r="M46" i="29"/>
  <c r="N46" i="29" s="1"/>
  <c r="O46" i="29" s="1"/>
  <c r="P46" i="29" s="1"/>
  <c r="M33" i="29"/>
  <c r="N33" i="29" s="1"/>
  <c r="D102" i="29"/>
  <c r="L102" i="29" s="1"/>
  <c r="M84" i="29"/>
  <c r="N84" i="29" s="1"/>
  <c r="O84" i="29" s="1"/>
  <c r="P84" i="29" s="1"/>
  <c r="E69" i="29"/>
  <c r="M108" i="29"/>
  <c r="N108" i="29" s="1"/>
  <c r="O108" i="29" s="1"/>
  <c r="P108" i="29" s="1"/>
  <c r="L79" i="29"/>
  <c r="L29" i="29"/>
  <c r="G22" i="33"/>
  <c r="D101" i="29"/>
  <c r="M34" i="29"/>
  <c r="N34" i="29" s="1"/>
  <c r="O34" i="29" s="1"/>
  <c r="P34" i="29" s="1"/>
  <c r="E32" i="29"/>
  <c r="M32" i="29" s="1"/>
  <c r="N32" i="29" s="1"/>
  <c r="O32" i="29" s="1"/>
  <c r="P32" i="29" s="1"/>
  <c r="D48" i="29"/>
  <c r="E48" i="29" s="1"/>
  <c r="M48" i="29" s="1"/>
  <c r="N48" i="29" s="1"/>
  <c r="G15" i="33"/>
  <c r="D100" i="29"/>
  <c r="L100" i="29" s="1"/>
  <c r="E45" i="29"/>
  <c r="M45" i="29" s="1"/>
  <c r="N45" i="29" s="1"/>
  <c r="O45" i="29" s="1"/>
  <c r="P45" i="29" s="1"/>
  <c r="I190" i="32"/>
  <c r="J69" i="29" s="1"/>
  <c r="L33" i="29"/>
  <c r="L42" i="29"/>
  <c r="L35" i="29"/>
  <c r="M35" i="29"/>
  <c r="N35" i="29" s="1"/>
  <c r="E87" i="29"/>
  <c r="M87" i="29" s="1"/>
  <c r="N87" i="29" s="1"/>
  <c r="O87" i="29" s="1"/>
  <c r="P87" i="29" s="1"/>
  <c r="E68" i="29"/>
  <c r="M68" i="29" s="1"/>
  <c r="N68" i="29" s="1"/>
  <c r="O68" i="29" s="1"/>
  <c r="P68" i="29" s="1"/>
  <c r="L67" i="29"/>
  <c r="L39" i="29"/>
  <c r="M79" i="29"/>
  <c r="N79" i="29" s="1"/>
  <c r="O79" i="29" s="1"/>
  <c r="P79" i="29" s="1"/>
  <c r="G18" i="33"/>
  <c r="G17" i="33"/>
  <c r="G23" i="33"/>
  <c r="L66" i="29"/>
  <c r="M31" i="29"/>
  <c r="N31" i="29" s="1"/>
  <c r="O31" i="29" s="1"/>
  <c r="P31" i="29" s="1"/>
  <c r="C8" i="31"/>
  <c r="C102" i="29"/>
  <c r="D58" i="29"/>
  <c r="E58" i="29" s="1"/>
  <c r="M58" i="29" s="1"/>
  <c r="N58" i="29" s="1"/>
  <c r="C99" i="29"/>
  <c r="E99" i="29" s="1"/>
  <c r="M99" i="29" s="1"/>
  <c r="N99" i="29" s="1"/>
  <c r="O99" i="29" s="1"/>
  <c r="P99" i="29" s="1"/>
  <c r="C96" i="29"/>
  <c r="E96" i="29" s="1"/>
  <c r="M96" i="29" s="1"/>
  <c r="N96" i="29" s="1"/>
  <c r="O96" i="29" s="1"/>
  <c r="P96" i="29" s="1"/>
  <c r="D88" i="29"/>
  <c r="D77" i="29"/>
  <c r="E77" i="29" s="1"/>
  <c r="M77" i="29" s="1"/>
  <c r="N77" i="29" s="1"/>
  <c r="O77" i="29" s="1"/>
  <c r="P77" i="29" s="1"/>
  <c r="D71" i="29"/>
  <c r="L45" i="29"/>
  <c r="D30" i="29"/>
  <c r="C67" i="29"/>
  <c r="E67" i="29" s="1"/>
  <c r="M67" i="29" s="1"/>
  <c r="N67" i="29" s="1"/>
  <c r="O67" i="29" s="1"/>
  <c r="P67" i="29" s="1"/>
  <c r="D73" i="29"/>
  <c r="D83" i="29"/>
  <c r="D60" i="29"/>
  <c r="D38" i="29"/>
  <c r="L38" i="29" s="1"/>
  <c r="D74" i="29"/>
  <c r="D82" i="29"/>
  <c r="C94" i="29"/>
  <c r="E94" i="29" s="1"/>
  <c r="D75" i="29"/>
  <c r="E75" i="29" s="1"/>
  <c r="M75" i="29" s="1"/>
  <c r="N75" i="29" s="1"/>
  <c r="O75" i="29" s="1"/>
  <c r="P75" i="29" s="1"/>
  <c r="D78" i="29"/>
  <c r="L50" i="29" l="1"/>
  <c r="L56" i="29"/>
  <c r="D57" i="29"/>
  <c r="G20" i="24"/>
  <c r="M49" i="29"/>
  <c r="N49" i="29" s="1"/>
  <c r="L43" i="29"/>
  <c r="L41" i="29"/>
  <c r="E88" i="29"/>
  <c r="M88" i="29" s="1"/>
  <c r="N88" i="29" s="1"/>
  <c r="O88" i="29" s="1"/>
  <c r="P88" i="29" s="1"/>
  <c r="G21" i="24" s="1"/>
  <c r="L37" i="29"/>
  <c r="L44" i="29"/>
  <c r="L76" i="29"/>
  <c r="E54" i="29"/>
  <c r="M54" i="29" s="1"/>
  <c r="N54" i="29" s="1"/>
  <c r="O54" i="29" s="1"/>
  <c r="P54" i="29" s="1"/>
  <c r="L54" i="29"/>
  <c r="E60" i="29"/>
  <c r="M60" i="29" s="1"/>
  <c r="N60" i="29" s="1"/>
  <c r="O60" i="29" s="1"/>
  <c r="P60" i="29" s="1"/>
  <c r="L52" i="29"/>
  <c r="E62" i="29"/>
  <c r="M62" i="29" s="1"/>
  <c r="N62" i="29" s="1"/>
  <c r="O62" i="29" s="1"/>
  <c r="P62" i="29" s="1"/>
  <c r="D55" i="29"/>
  <c r="E55" i="29" s="1"/>
  <c r="M55" i="29" s="1"/>
  <c r="N55" i="29" s="1"/>
  <c r="O55" i="29" s="1"/>
  <c r="P55" i="29" s="1"/>
  <c r="L53" i="29"/>
  <c r="E65" i="29"/>
  <c r="M65" i="29" s="1"/>
  <c r="N65" i="29" s="1"/>
  <c r="E98" i="29"/>
  <c r="M98" i="29" s="1"/>
  <c r="N98" i="29" s="1"/>
  <c r="O98" i="29" s="1"/>
  <c r="P98" i="29" s="1"/>
  <c r="E101" i="29"/>
  <c r="M101" i="29" s="1"/>
  <c r="N101" i="29" s="1"/>
  <c r="O101" i="29" s="1"/>
  <c r="P101" i="29" s="1"/>
  <c r="L62" i="29"/>
  <c r="D63" i="29"/>
  <c r="E100" i="29"/>
  <c r="M100" i="29" s="1"/>
  <c r="N100" i="29" s="1"/>
  <c r="O100" i="29" s="1"/>
  <c r="P100" i="29" s="1"/>
  <c r="E102" i="29"/>
  <c r="M102" i="29" s="1"/>
  <c r="N102" i="29" s="1"/>
  <c r="O102" i="29" s="1"/>
  <c r="P102" i="29" s="1"/>
  <c r="L59" i="29"/>
  <c r="E40" i="29"/>
  <c r="M40" i="29" s="1"/>
  <c r="N40" i="29" s="1"/>
  <c r="O40" i="29" s="1"/>
  <c r="P40" i="29" s="1"/>
  <c r="L49" i="29"/>
  <c r="M69" i="29"/>
  <c r="N69" i="29" s="1"/>
  <c r="L48" i="29"/>
  <c r="E64" i="29"/>
  <c r="M64" i="29" s="1"/>
  <c r="N64" i="29" s="1"/>
  <c r="O64" i="29" s="1"/>
  <c r="P64" i="29" s="1"/>
  <c r="G19" i="24" s="1"/>
  <c r="L101" i="29"/>
  <c r="D18" i="24" s="1"/>
  <c r="L51" i="29"/>
  <c r="G25" i="33"/>
  <c r="E51" i="29"/>
  <c r="M51" i="29" s="1"/>
  <c r="N51" i="29" s="1"/>
  <c r="O51" i="29" s="1"/>
  <c r="P51" i="29" s="1"/>
  <c r="E22" i="30"/>
  <c r="G22" i="30" s="1"/>
  <c r="L77" i="29"/>
  <c r="C97" i="29"/>
  <c r="E97" i="29" s="1"/>
  <c r="O97" i="29" s="1"/>
  <c r="P97" i="29" s="1"/>
  <c r="D20" i="24"/>
  <c r="L58" i="29"/>
  <c r="D19" i="24"/>
  <c r="L73" i="29"/>
  <c r="E73" i="29"/>
  <c r="M73" i="29" s="1"/>
  <c r="N73" i="29" s="1"/>
  <c r="O73" i="29" s="1"/>
  <c r="P73" i="29" s="1"/>
  <c r="E23" i="30"/>
  <c r="G23" i="30" s="1"/>
  <c r="M94" i="29"/>
  <c r="N94" i="29" s="1"/>
  <c r="O94" i="29" s="1"/>
  <c r="P94" i="29" s="1"/>
  <c r="G17" i="24" s="1"/>
  <c r="L61" i="29"/>
  <c r="E61" i="29"/>
  <c r="M61" i="29" s="1"/>
  <c r="N61" i="29" s="1"/>
  <c r="L88" i="29"/>
  <c r="D21" i="24" s="1"/>
  <c r="L75" i="29"/>
  <c r="L83" i="29"/>
  <c r="E83" i="29"/>
  <c r="M83" i="29" s="1"/>
  <c r="N83" i="29" s="1"/>
  <c r="O83" i="29" s="1"/>
  <c r="P83" i="29" s="1"/>
  <c r="E30" i="29"/>
  <c r="M30" i="29" s="1"/>
  <c r="N30" i="29" s="1"/>
  <c r="O30" i="29" s="1"/>
  <c r="P30" i="29" s="1"/>
  <c r="L30" i="29"/>
  <c r="L74" i="29"/>
  <c r="E74" i="29"/>
  <c r="M74" i="29" s="1"/>
  <c r="N74" i="29" s="1"/>
  <c r="O74" i="29" s="1"/>
  <c r="P74" i="29" s="1"/>
  <c r="L60" i="29"/>
  <c r="D36" i="29"/>
  <c r="E38" i="29"/>
  <c r="M38" i="29" s="1"/>
  <c r="N38" i="29" s="1"/>
  <c r="O38" i="29" s="1"/>
  <c r="P38" i="29" s="1"/>
  <c r="L82" i="29"/>
  <c r="D22" i="24" s="1"/>
  <c r="E82" i="29"/>
  <c r="M82" i="29" s="1"/>
  <c r="N82" i="29" s="1"/>
  <c r="O82" i="29" s="1"/>
  <c r="P82" i="29" s="1"/>
  <c r="E57" i="29"/>
  <c r="L57" i="29"/>
  <c r="L78" i="29"/>
  <c r="E78" i="29"/>
  <c r="M78" i="29" s="1"/>
  <c r="N78" i="29" s="1"/>
  <c r="O78" i="29" s="1"/>
  <c r="P78" i="29" s="1"/>
  <c r="K16" i="24" l="1"/>
  <c r="M16" i="24" s="1"/>
  <c r="D18" i="33" s="1"/>
  <c r="E24" i="30"/>
  <c r="G24" i="30" s="1"/>
  <c r="G22" i="24"/>
  <c r="L55" i="29"/>
  <c r="E21" i="30"/>
  <c r="G21" i="30" s="1"/>
  <c r="O69" i="29"/>
  <c r="P69" i="29" s="1"/>
  <c r="G15" i="24" s="1"/>
  <c r="G18" i="24"/>
  <c r="G16" i="24"/>
  <c r="D16" i="24"/>
  <c r="E63" i="29"/>
  <c r="M63" i="29" s="1"/>
  <c r="N63" i="29" s="1"/>
  <c r="O63" i="29" s="1"/>
  <c r="P63" i="29" s="1"/>
  <c r="K17" i="24" s="1"/>
  <c r="M17" i="24" s="1"/>
  <c r="D19" i="33" s="1"/>
  <c r="L63" i="29"/>
  <c r="L36" i="29"/>
  <c r="D14" i="24" s="1"/>
  <c r="E36" i="29"/>
  <c r="M57" i="29"/>
  <c r="N57" i="29" s="1"/>
  <c r="E16" i="24" l="1"/>
  <c r="F16" i="24" s="1"/>
  <c r="H16" i="24" s="1"/>
  <c r="D16" i="33" s="1"/>
  <c r="E18" i="24"/>
  <c r="F18" i="24" s="1"/>
  <c r="H18" i="24" s="1"/>
  <c r="D22" i="33" s="1"/>
  <c r="E17" i="24"/>
  <c r="F17" i="24" s="1"/>
  <c r="H17" i="24" s="1"/>
  <c r="D21" i="33" s="1"/>
  <c r="E20" i="24"/>
  <c r="F20" i="24" s="1"/>
  <c r="H20" i="24" s="1"/>
  <c r="D17" i="33" s="1"/>
  <c r="E22" i="24"/>
  <c r="F22" i="24" s="1"/>
  <c r="H22" i="24" s="1"/>
  <c r="K15" i="24"/>
  <c r="M15" i="24" s="1"/>
  <c r="E19" i="24"/>
  <c r="F19" i="24" s="1"/>
  <c r="H19" i="24" s="1"/>
  <c r="D20" i="33" s="1"/>
  <c r="F23" i="24"/>
  <c r="H23" i="24" s="1"/>
  <c r="E15" i="24"/>
  <c r="F21" i="24"/>
  <c r="H21" i="24" s="1"/>
  <c r="D23" i="33" s="1"/>
  <c r="C111" i="29"/>
  <c r="E111" i="29" s="1"/>
  <c r="M111" i="29" s="1"/>
  <c r="N111" i="29" s="1"/>
  <c r="O111" i="29" s="1"/>
  <c r="P111" i="29" s="1"/>
  <c r="C105" i="29"/>
  <c r="E105" i="29" s="1"/>
  <c r="C106" i="29"/>
  <c r="E106" i="29" s="1"/>
  <c r="M106" i="29" s="1"/>
  <c r="N106" i="29" s="1"/>
  <c r="O106" i="29" s="1"/>
  <c r="P106" i="29" s="1"/>
  <c r="C110" i="29"/>
  <c r="E110" i="29" s="1"/>
  <c r="M110" i="29" s="1"/>
  <c r="N110" i="29" s="1"/>
  <c r="O110" i="29" s="1"/>
  <c r="P110" i="29" s="1"/>
  <c r="M36" i="29"/>
  <c r="N36" i="29" s="1"/>
  <c r="O36" i="29" s="1"/>
  <c r="P36" i="29" s="1"/>
  <c r="G14" i="24" s="1"/>
  <c r="M105" i="29" l="1"/>
  <c r="N105" i="29" s="1"/>
  <c r="O105" i="29" s="1"/>
  <c r="P105" i="29" s="1"/>
  <c r="E15" i="29"/>
  <c r="F15" i="24"/>
  <c r="H15" i="24" s="1"/>
  <c r="D24" i="33" s="1"/>
  <c r="K15" i="29"/>
  <c r="K16" i="29" s="1"/>
  <c r="K17" i="29" s="1"/>
  <c r="K19" i="29" s="1"/>
  <c r="K14" i="24"/>
  <c r="M14" i="24" s="1"/>
  <c r="D15" i="33" s="1"/>
  <c r="H14" i="24"/>
  <c r="H24" i="24" l="1"/>
  <c r="C26" i="24" s="1"/>
  <c r="C27" i="24" s="1"/>
  <c r="C28" i="24" s="1"/>
  <c r="D25" i="33"/>
  <c r="G28" i="33" s="1"/>
  <c r="G33" i="33" s="1"/>
  <c r="G35" i="33" s="1"/>
  <c r="E21" i="29"/>
  <c r="E16" i="29"/>
  <c r="E17" i="29" s="1"/>
  <c r="E22" i="29" l="1"/>
  <c r="E19" i="29"/>
  <c r="E23" i="29"/>
  <c r="E25" i="29" l="1"/>
  <c r="E18" i="30" s="1"/>
  <c r="G18" i="30" s="1"/>
  <c r="G26" i="30" s="1"/>
  <c r="C32" i="24" s="1"/>
  <c r="C34" i="24" s="1"/>
</calcChain>
</file>

<file path=xl/sharedStrings.xml><?xml version="1.0" encoding="utf-8"?>
<sst xmlns="http://schemas.openxmlformats.org/spreadsheetml/2006/main" count="1779" uniqueCount="1113">
  <si>
    <t>Review Date:</t>
  </si>
  <si>
    <t>Area Manager:</t>
  </si>
  <si>
    <t>YES</t>
  </si>
  <si>
    <t>NO</t>
  </si>
  <si>
    <t>BUILDING NAME</t>
  </si>
  <si>
    <t>SQUARE FEET</t>
  </si>
  <si>
    <t>FCI</t>
  </si>
  <si>
    <t>COMMENTS</t>
  </si>
  <si>
    <t>DEMOLITIONS</t>
  </si>
  <si>
    <t>TOTAL</t>
  </si>
  <si>
    <t>TOTAL GROSS SF OF EXISTING CAMPUS</t>
  </si>
  <si>
    <t>SF OF JUSTIFIED DEMOLITIONS</t>
  </si>
  <si>
    <t>-</t>
  </si>
  <si>
    <t>JUSTIFIED?</t>
  </si>
  <si>
    <t>REQUIRED SPACES CHECK</t>
  </si>
  <si>
    <t>PROGRAM</t>
  </si>
  <si>
    <t>ACADEMIC CORE</t>
  </si>
  <si>
    <t>SPECIAL EDUCATION</t>
  </si>
  <si>
    <t>STUDENT DINING</t>
  </si>
  <si>
    <t>ADMINISTRATIVE SPACES</t>
  </si>
  <si>
    <t>ARE NEW SPACES FUNDED?</t>
  </si>
  <si>
    <t>NEW SPACES (AREA)</t>
  </si>
  <si>
    <t>NEW SPACES (QUANTITY)</t>
  </si>
  <si>
    <t>NEW SPACES STANDARD (SF)</t>
  </si>
  <si>
    <t xml:space="preserve">NOTE: NEW </t>
  </si>
  <si>
    <t>SPACES</t>
  </si>
  <si>
    <t xml:space="preserve">QTY X </t>
  </si>
  <si>
    <t>STANDARD</t>
  </si>
  <si>
    <t>SF</t>
  </si>
  <si>
    <t>PRELIMINARY AREA FUNDED (NET SF)</t>
  </si>
  <si>
    <t>TOTAL NEW SPACES FUNDED AREA (NET SF)</t>
  </si>
  <si>
    <t>NEW SPACES + 28% BLDG SERVICES</t>
  </si>
  <si>
    <t>NEW SPACES + BLDG SERVICES + 10% CONST.FACTOR</t>
  </si>
  <si>
    <t>TOTAL SUITABILITY NEED GROSS SF</t>
  </si>
  <si>
    <t>PROJECT FUNDED GROSS SF</t>
  </si>
  <si>
    <t>SCHEMATIC DRAWING (TOTAL PROJECT ONLY) GROSS SF</t>
  </si>
  <si>
    <t>FROM POR SUMMARY SHEET</t>
  </si>
  <si>
    <t>SUPPORT SPACES</t>
  </si>
  <si>
    <t>SCHOOL DISTRICT</t>
  </si>
  <si>
    <t>SCHOOL NAME</t>
  </si>
  <si>
    <t>PROJECT NAME</t>
  </si>
  <si>
    <t>PROJECT NUMBER</t>
  </si>
  <si>
    <t>Kindergarten</t>
  </si>
  <si>
    <t xml:space="preserve">2. KITCHEN  </t>
  </si>
  <si>
    <t>School may have warming kitchen or full service kitchen</t>
  </si>
  <si>
    <t>Select from menu below YES or NO if school will have warming kitchen</t>
  </si>
  <si>
    <t>Warming Kitchen</t>
  </si>
  <si>
    <t>Grade 6</t>
  </si>
  <si>
    <t>Full Service Kitchen</t>
  </si>
  <si>
    <t>3.  MULTI-STORY SCHOOL</t>
  </si>
  <si>
    <t>Select from menu if school is multi-story</t>
  </si>
  <si>
    <t>4.  TOTAL SPACE EXISTING CAMPUS</t>
  </si>
  <si>
    <t xml:space="preserve"> Gross Square Feet</t>
  </si>
  <si>
    <t>K-5</t>
  </si>
  <si>
    <t>TOTAL REQUIRED SQUARE FOOTAGE</t>
  </si>
  <si>
    <t>6-12</t>
  </si>
  <si>
    <t>10% SUPPORT SPACE ALLOWANCE</t>
  </si>
  <si>
    <t>15% SUPPORT SPACE ALLOWANCE</t>
  </si>
  <si>
    <t>TOTAL ALLOWABLE SQUARE FOOTAGE</t>
  </si>
  <si>
    <t>10% CONSTRUCTION FACTOR</t>
  </si>
  <si>
    <t>TOTAL MAXIMUM FUNDED SQUARE FOOTAGE</t>
  </si>
  <si>
    <t>TOTAL REQUIRED SPACES</t>
  </si>
  <si>
    <t xml:space="preserve">  Square Feet</t>
  </si>
  <si>
    <t>TOTAL REQUIRED + SUPPORT SPACE ALLOWANCE</t>
  </si>
  <si>
    <t>Square Feet</t>
  </si>
  <si>
    <t>NEW SPACES</t>
  </si>
  <si>
    <t>TOTAL REQUIRED/FUNDED SQUARE FOOTAGE</t>
  </si>
  <si>
    <t>REQUIRED SPACES</t>
  </si>
  <si>
    <t>EXISTING SPACES     (in their final configuration)</t>
  </si>
  <si>
    <t>TOTAL SPACES (NEW + EXISTING)</t>
  </si>
  <si>
    <t>Space</t>
  </si>
  <si>
    <t>Qty</t>
  </si>
  <si>
    <t>AREA</t>
  </si>
  <si>
    <t>E-AC-3</t>
  </si>
  <si>
    <t>Kindergarten Classroom</t>
  </si>
  <si>
    <t>E-AC-4</t>
  </si>
  <si>
    <t>Kindergarten Restroom</t>
  </si>
  <si>
    <t>E-AC-5a</t>
  </si>
  <si>
    <t>Elem Classroom Grades 1-3</t>
  </si>
  <si>
    <t>E-AC-5b</t>
  </si>
  <si>
    <t>Elem Classroom Grades 4-5</t>
  </si>
  <si>
    <t>M-AC-1a</t>
  </si>
  <si>
    <t>MS Classroom Grade 6</t>
  </si>
  <si>
    <t>M-AC-1b</t>
  </si>
  <si>
    <t>MS Classroom Grades 7-8</t>
  </si>
  <si>
    <t xml:space="preserve">Workforce Development </t>
  </si>
  <si>
    <t>H-AC-1</t>
  </si>
  <si>
    <t xml:space="preserve">HS Classroom </t>
  </si>
  <si>
    <t>H-AC-2</t>
  </si>
  <si>
    <t>Science Clrm/Lab-Gen/Physics</t>
  </si>
  <si>
    <t>H-AC-3</t>
  </si>
  <si>
    <t>Science Clrm/Lab-Chemistry</t>
  </si>
  <si>
    <t>H-AC-4</t>
  </si>
  <si>
    <t>Science Clrm/Lab-Biol/Life Sci</t>
  </si>
  <si>
    <t>H-AC-5</t>
  </si>
  <si>
    <t>Science Prep</t>
  </si>
  <si>
    <t>H-AC-11</t>
  </si>
  <si>
    <t>Chemical Storage</t>
  </si>
  <si>
    <t>H-AC-12</t>
  </si>
  <si>
    <t>Multi-Use Room</t>
  </si>
  <si>
    <t>H-AC-13</t>
  </si>
  <si>
    <t>Instructional Multi-Purpose Rm</t>
  </si>
  <si>
    <t>H-AC-8</t>
  </si>
  <si>
    <t>Project Lab/Classroom</t>
  </si>
  <si>
    <t>E-MC-1</t>
  </si>
  <si>
    <t>Reading Room/Circulation</t>
  </si>
  <si>
    <t>E-MC-4</t>
  </si>
  <si>
    <t>Computer Lab</t>
  </si>
  <si>
    <t>M/H-MC-1</t>
  </si>
  <si>
    <t>M-MC-4</t>
  </si>
  <si>
    <t>Media Center Computer Lab</t>
  </si>
  <si>
    <t>E-VA-1</t>
  </si>
  <si>
    <t>Art Room</t>
  </si>
  <si>
    <t>E-VA-3</t>
  </si>
  <si>
    <t>Art Material Storage</t>
  </si>
  <si>
    <t>E-AC-10</t>
  </si>
  <si>
    <t>Fine Arts Instruction Room</t>
  </si>
  <si>
    <t>E-AC-11</t>
  </si>
  <si>
    <t>Fine Arts Instruction Storage</t>
  </si>
  <si>
    <t>M-VA-1</t>
  </si>
  <si>
    <t>H-VA-1</t>
  </si>
  <si>
    <t>M/H-VA-3</t>
  </si>
  <si>
    <t>E-MU-1</t>
  </si>
  <si>
    <t>Music Room</t>
  </si>
  <si>
    <t>E-MU-2</t>
  </si>
  <si>
    <t>Music Storage</t>
  </si>
  <si>
    <t>M-MU-2</t>
  </si>
  <si>
    <t>M/H-MU-1</t>
  </si>
  <si>
    <t>Instrumental Room</t>
  </si>
  <si>
    <t>H-MU-2</t>
  </si>
  <si>
    <t>Instrument Storage</t>
  </si>
  <si>
    <t>M-MU-8</t>
  </si>
  <si>
    <t>Vocal Room</t>
  </si>
  <si>
    <t>H-MU-8</t>
  </si>
  <si>
    <t>H-MU-9</t>
  </si>
  <si>
    <t>Vocal Storage</t>
  </si>
  <si>
    <t>E-PE-1</t>
  </si>
  <si>
    <t>PE Area</t>
  </si>
  <si>
    <t>M-PE-1</t>
  </si>
  <si>
    <t>H-PE-1</t>
  </si>
  <si>
    <t>H-PE-3</t>
  </si>
  <si>
    <t>Student Locker Room</t>
  </si>
  <si>
    <t>H-PE-4</t>
  </si>
  <si>
    <t>Student Restroom/Shower</t>
  </si>
  <si>
    <t>Varies</t>
  </si>
  <si>
    <t>E/M/H-SE-1</t>
  </si>
  <si>
    <t>Self-contained Classroom</t>
  </si>
  <si>
    <t>E/M/H-SE-2</t>
  </si>
  <si>
    <t>Workroom/Conference</t>
  </si>
  <si>
    <t>E/M/H-SE-3</t>
  </si>
  <si>
    <t>Restroom/Shower</t>
  </si>
  <si>
    <t>E/M/H-SE-4</t>
  </si>
  <si>
    <t>Special Education/Resource</t>
  </si>
  <si>
    <t>E/M/H-SE-5</t>
  </si>
  <si>
    <t>Speech Therapy</t>
  </si>
  <si>
    <t>E/M/H-SE-7</t>
  </si>
  <si>
    <t>OT/PT</t>
  </si>
  <si>
    <t>E/M/H-AD-3</t>
  </si>
  <si>
    <t>Principal's Office</t>
  </si>
  <si>
    <t>E/M/H-AD-4</t>
  </si>
  <si>
    <t>Assistant Principal's Office</t>
  </si>
  <si>
    <t>E/M/H-AD-11</t>
  </si>
  <si>
    <t>Guidance Counselor's Office</t>
  </si>
  <si>
    <t>E/M/H-AD-15</t>
  </si>
  <si>
    <t>Health Center</t>
  </si>
  <si>
    <t>PERFORMING ARTS</t>
  </si>
  <si>
    <t>H-PA-1</t>
  </si>
  <si>
    <t>Auditorium</t>
  </si>
  <si>
    <t>H-PA-3</t>
  </si>
  <si>
    <t>Stage Area (includes wings)</t>
  </si>
  <si>
    <t>E/M/H-SD-1</t>
  </si>
  <si>
    <t>Student Dining</t>
  </si>
  <si>
    <t>FOOD SERVICE</t>
  </si>
  <si>
    <t>E/M/H-FS-1</t>
  </si>
  <si>
    <t>E/M/H-FS-2</t>
  </si>
  <si>
    <t>Kitchen (total)</t>
  </si>
  <si>
    <t>E/M/H-FS-2a</t>
  </si>
  <si>
    <t xml:space="preserve">    Preparation Area</t>
  </si>
  <si>
    <t>E/M/H-FS-2b</t>
  </si>
  <si>
    <t xml:space="preserve">    Serving Area</t>
  </si>
  <si>
    <t>E/M/H-FS-2c</t>
  </si>
  <si>
    <t xml:space="preserve">    Dry Food Storage</t>
  </si>
  <si>
    <t>E/M/H-FS-2d</t>
  </si>
  <si>
    <t xml:space="preserve">    Cooler/Freezer</t>
  </si>
  <si>
    <t>E/M/H-FS-2e</t>
  </si>
  <si>
    <t xml:space="preserve">    Ware Washing</t>
  </si>
  <si>
    <t>BUILDING SERVICES</t>
  </si>
  <si>
    <t>E/M/H-CU-1</t>
  </si>
  <si>
    <t>Workroom</t>
  </si>
  <si>
    <t>E/M/H-MultiSt</t>
  </si>
  <si>
    <t>Vertical Circulation</t>
  </si>
  <si>
    <t>E/M/H-BS-1</t>
  </si>
  <si>
    <t>Large Group Restrooms</t>
  </si>
  <si>
    <t>E/M/H-BS-2</t>
  </si>
  <si>
    <t>Custodial Closet</t>
  </si>
  <si>
    <t>E/M/H-BS-3</t>
  </si>
  <si>
    <t>Electrical Closet</t>
  </si>
  <si>
    <t>E/M/H-BS-4</t>
  </si>
  <si>
    <t>Telecommunications Room</t>
  </si>
  <si>
    <t>E/M/H-BS-5</t>
  </si>
  <si>
    <t>Corridors/Circulation</t>
  </si>
  <si>
    <t>E/M/H-BS-6</t>
  </si>
  <si>
    <t>Mech/Elect Space/Decks</t>
  </si>
  <si>
    <t>E/M/H-BS-7</t>
  </si>
  <si>
    <t>Storage Area</t>
  </si>
  <si>
    <t>E/M/H-BS-8</t>
  </si>
  <si>
    <t>Central Storage Area</t>
  </si>
  <si>
    <t>E/M/H-BS-9</t>
  </si>
  <si>
    <t>Loading/Receiving Area</t>
  </si>
  <si>
    <t>E/M/H-BS-10</t>
  </si>
  <si>
    <t>Main Cross-connect</t>
  </si>
  <si>
    <t xml:space="preserve">SUITABILITY ANALYSIS </t>
  </si>
  <si>
    <t>Existing Size</t>
  </si>
  <si>
    <t>POR Allowance</t>
  </si>
  <si>
    <t>Difference</t>
  </si>
  <si>
    <t>(GROSS SF)</t>
  </si>
  <si>
    <t>(SF)</t>
  </si>
  <si>
    <t>TOTAL SCHOOL/CAMPUS</t>
  </si>
  <si>
    <t>SINGLE-PURPOSE AREAS</t>
  </si>
  <si>
    <t>Physical Education</t>
  </si>
  <si>
    <t>Media Center</t>
  </si>
  <si>
    <t>Performing Arts</t>
  </si>
  <si>
    <t xml:space="preserve">                                                  NOTES</t>
  </si>
  <si>
    <t>District Inputs</t>
  </si>
  <si>
    <t>From POR Summary Sheet</t>
  </si>
  <si>
    <t>Suitability Analysis Computes</t>
  </si>
  <si>
    <t>State Participation Area or Excess Area in Gross SF</t>
  </si>
  <si>
    <t>ONLY ENTER NEW SPACES INCLUDED IN THE PROJECT</t>
  </si>
  <si>
    <t>SUPPORT SPACES (NOT REQUIRED)</t>
  </si>
  <si>
    <t>SUGGESTED SF</t>
  </si>
  <si>
    <t>E-AC-6</t>
  </si>
  <si>
    <t>Teacher Prep Area/Workroom</t>
  </si>
  <si>
    <t>E-AC-7</t>
  </si>
  <si>
    <t>Individual Restroom</t>
  </si>
  <si>
    <t>E-AC-8</t>
  </si>
  <si>
    <t>Instructional Material Storage</t>
  </si>
  <si>
    <t>E-AC-9</t>
  </si>
  <si>
    <t>Instructional Multi-purpose</t>
  </si>
  <si>
    <t>E-MC-2</t>
  </si>
  <si>
    <t>Media Specialist Office</t>
  </si>
  <si>
    <t>E-MC-3</t>
  </si>
  <si>
    <t>Media Center Workroom/Storage</t>
  </si>
  <si>
    <t>E-MC-5</t>
  </si>
  <si>
    <t>A/V Storage</t>
  </si>
  <si>
    <t>E-MC-6</t>
  </si>
  <si>
    <t>Conference Room</t>
  </si>
  <si>
    <t>E-VA-2</t>
  </si>
  <si>
    <t>Kiln/Ceramic Storage</t>
  </si>
  <si>
    <t>E-PE-2</t>
  </si>
  <si>
    <t>P. E. Workroom/Storage</t>
  </si>
  <si>
    <t>M-AC-2</t>
  </si>
  <si>
    <t>M-AC-3</t>
  </si>
  <si>
    <t>M-AC-4</t>
  </si>
  <si>
    <t>M-AC-5</t>
  </si>
  <si>
    <t>M-AC-6</t>
  </si>
  <si>
    <t>Small Group Room</t>
  </si>
  <si>
    <t>M-AC-7</t>
  </si>
  <si>
    <t>Instructional Multi-purpose Room</t>
  </si>
  <si>
    <t>M-MC-2</t>
  </si>
  <si>
    <t>M-MC-3</t>
  </si>
  <si>
    <t>M-MC-5</t>
  </si>
  <si>
    <t>Media Center A/V Storage</t>
  </si>
  <si>
    <t>M-MC-6</t>
  </si>
  <si>
    <t>Media Center Conference Room</t>
  </si>
  <si>
    <t>M-MC-7</t>
  </si>
  <si>
    <t>Multimedia Production Room</t>
  </si>
  <si>
    <t>M-VA-2</t>
  </si>
  <si>
    <t>M-MU-3</t>
  </si>
  <si>
    <t>Music Office</t>
  </si>
  <si>
    <t>M-MU-4</t>
  </si>
  <si>
    <t>Music Library</t>
  </si>
  <si>
    <t>M-FCS-1</t>
  </si>
  <si>
    <t>Life Skills Lab</t>
  </si>
  <si>
    <t>M-FCS-2</t>
  </si>
  <si>
    <t>Life Skills Storage</t>
  </si>
  <si>
    <t>M-PE-2</t>
  </si>
  <si>
    <t>M-PE-3</t>
  </si>
  <si>
    <t>Staff Shower</t>
  </si>
  <si>
    <t>M-PE-4</t>
  </si>
  <si>
    <t>M-PE-5</t>
  </si>
  <si>
    <t>M-PE-6</t>
  </si>
  <si>
    <t>Physical Education Storage</t>
  </si>
  <si>
    <t>H-AC-6</t>
  </si>
  <si>
    <t>H-AC-7</t>
  </si>
  <si>
    <t>H-AC-9</t>
  </si>
  <si>
    <t>H-AC-10</t>
  </si>
  <si>
    <t>H-MC-2</t>
  </si>
  <si>
    <t>H-MC-3</t>
  </si>
  <si>
    <t>Workroom/Storage</t>
  </si>
  <si>
    <t>H-MC-4</t>
  </si>
  <si>
    <t>H-MC-5</t>
  </si>
  <si>
    <t>H-MC-6</t>
  </si>
  <si>
    <t>H-MC-7</t>
  </si>
  <si>
    <t>Document Storage</t>
  </si>
  <si>
    <t>H-VA-2</t>
  </si>
  <si>
    <t>H-MU-3</t>
  </si>
  <si>
    <t>Instrument Repair Room</t>
  </si>
  <si>
    <t>H-MU-4</t>
  </si>
  <si>
    <t>Orchestra Storage</t>
  </si>
  <si>
    <t>H-MU-5</t>
  </si>
  <si>
    <t>Instrumental Music Library</t>
  </si>
  <si>
    <t>H-MU-6</t>
  </si>
  <si>
    <t>Instrumental Office</t>
  </si>
  <si>
    <t>H-MU-7</t>
  </si>
  <si>
    <t>Uniform Storage</t>
  </si>
  <si>
    <t>H-MU-10</t>
  </si>
  <si>
    <t>Vocal Music Library</t>
  </si>
  <si>
    <t>H-MU-11</t>
  </si>
  <si>
    <t>Vocal Office</t>
  </si>
  <si>
    <t>H-MU-12</t>
  </si>
  <si>
    <t>Ensemble Room</t>
  </si>
  <si>
    <t>H-MU-13</t>
  </si>
  <si>
    <t>Practice Room</t>
  </si>
  <si>
    <t>H-MU-14</t>
  </si>
  <si>
    <t>Restroom</t>
  </si>
  <si>
    <t>H-PE-5</t>
  </si>
  <si>
    <t>H-PE-6</t>
  </si>
  <si>
    <t>H-PE-7</t>
  </si>
  <si>
    <t>H-PE-9</t>
  </si>
  <si>
    <t>Lobby Services</t>
  </si>
  <si>
    <t>H-PE-11</t>
  </si>
  <si>
    <t>Physical Health Classroom</t>
  </si>
  <si>
    <t>E-SE-6</t>
  </si>
  <si>
    <t>Storage</t>
  </si>
  <si>
    <t>M-SE-6</t>
  </si>
  <si>
    <t>H-SE-6</t>
  </si>
  <si>
    <t>E-AD-1</t>
  </si>
  <si>
    <t>Reception Area</t>
  </si>
  <si>
    <t>E-AD-2</t>
  </si>
  <si>
    <t>Secretarial  Area</t>
  </si>
  <si>
    <t>E-AD-5</t>
  </si>
  <si>
    <t>E-AD-6</t>
  </si>
  <si>
    <t>Mail/Work/Copy Room</t>
  </si>
  <si>
    <t>E-AD-7</t>
  </si>
  <si>
    <t>Administrative Storage</t>
  </si>
  <si>
    <t>E-AD-8</t>
  </si>
  <si>
    <t>Vault/Records Storage</t>
  </si>
  <si>
    <t>E-AD-9</t>
  </si>
  <si>
    <t>In-school Suspension</t>
  </si>
  <si>
    <t>E-AD-10</t>
  </si>
  <si>
    <t>E-AD-12</t>
  </si>
  <si>
    <t>Guidance Reception</t>
  </si>
  <si>
    <t>E-AD-13</t>
  </si>
  <si>
    <t>Guidance Records/Storage</t>
  </si>
  <si>
    <t>E-AD-14</t>
  </si>
  <si>
    <t>Parent Center</t>
  </si>
  <si>
    <t>E-AD-16</t>
  </si>
  <si>
    <t>Itinerant Personnel Office</t>
  </si>
  <si>
    <t>E-AD-17</t>
  </si>
  <si>
    <t>Family Restroom</t>
  </si>
  <si>
    <t>M-AD-1</t>
  </si>
  <si>
    <t>M-AD-2</t>
  </si>
  <si>
    <t>M-AD-5</t>
  </si>
  <si>
    <t>M-AD-6</t>
  </si>
  <si>
    <t>M-AD-7</t>
  </si>
  <si>
    <t>M-AD-8</t>
  </si>
  <si>
    <t>M-AD-9</t>
  </si>
  <si>
    <t>M-AD-10</t>
  </si>
  <si>
    <t>M-AD-12</t>
  </si>
  <si>
    <t>M-AD-13</t>
  </si>
  <si>
    <t>M-AD-14</t>
  </si>
  <si>
    <t>M-AD-16</t>
  </si>
  <si>
    <t>M-AD-17</t>
  </si>
  <si>
    <t>H-AD-1</t>
  </si>
  <si>
    <t>H-AD-2</t>
  </si>
  <si>
    <t>Secretarial Area</t>
  </si>
  <si>
    <t>H-AD-5</t>
  </si>
  <si>
    <t>H-AD-6</t>
  </si>
  <si>
    <t>H-AD-7</t>
  </si>
  <si>
    <t>H-AD-8</t>
  </si>
  <si>
    <t>H-AD-9</t>
  </si>
  <si>
    <t>H-AD-10</t>
  </si>
  <si>
    <t>H-AD-12</t>
  </si>
  <si>
    <t>H-AD-13</t>
  </si>
  <si>
    <t>Guid. Conference Rm/Group Procedures Rm</t>
  </si>
  <si>
    <t>H-AD-14</t>
  </si>
  <si>
    <t>Guidance Reception and Display Area</t>
  </si>
  <si>
    <t>H-AD-15</t>
  </si>
  <si>
    <t>H-AD-17</t>
  </si>
  <si>
    <t>H-AD-18</t>
  </si>
  <si>
    <t>Career Center</t>
  </si>
  <si>
    <t>H-AD-19</t>
  </si>
  <si>
    <t>E-SD-2</t>
  </si>
  <si>
    <t>Stage</t>
  </si>
  <si>
    <t>E-SD-3</t>
  </si>
  <si>
    <t>Staff Dining</t>
  </si>
  <si>
    <t>E-SD-4</t>
  </si>
  <si>
    <t>Table Storage</t>
  </si>
  <si>
    <t>E-FS-3</t>
  </si>
  <si>
    <t>Dietician Office</t>
  </si>
  <si>
    <t>E-FS-4</t>
  </si>
  <si>
    <t>E-FS-5</t>
  </si>
  <si>
    <t>Locker Room</t>
  </si>
  <si>
    <t>M-SD-2</t>
  </si>
  <si>
    <t>M-SD-3</t>
  </si>
  <si>
    <t>M-SD-4</t>
  </si>
  <si>
    <t>M-FS-3</t>
  </si>
  <si>
    <t>M-FS-4</t>
  </si>
  <si>
    <t>M-FS-5</t>
  </si>
  <si>
    <t>H-FS-3</t>
  </si>
  <si>
    <t>H-FS-4</t>
  </si>
  <si>
    <t>H-FS-5</t>
  </si>
  <si>
    <t>H-PA-2</t>
  </si>
  <si>
    <t>Orchestra Pit [with cover]</t>
  </si>
  <si>
    <t>H-PA-4</t>
  </si>
  <si>
    <t>Scene Shop</t>
  </si>
  <si>
    <t>H-PA-5</t>
  </si>
  <si>
    <t>Scene Shop Storage</t>
  </si>
  <si>
    <t>H-PA-6</t>
  </si>
  <si>
    <t>Make-up/Dressing Room</t>
  </si>
  <si>
    <t>H-PA-7</t>
  </si>
  <si>
    <t>Green Room</t>
  </si>
  <si>
    <t>H-PA-8</t>
  </si>
  <si>
    <t>Costume Storage</t>
  </si>
  <si>
    <t>H-PA-9</t>
  </si>
  <si>
    <t>Control Room</t>
  </si>
  <si>
    <t>H-PA-10</t>
  </si>
  <si>
    <t>Lobby/Concessions/Gallery</t>
  </si>
  <si>
    <t>H-PA-11</t>
  </si>
  <si>
    <t>Ticket Booth</t>
  </si>
  <si>
    <t>H-PA-12</t>
  </si>
  <si>
    <t>Theatre/Drama Office</t>
  </si>
  <si>
    <t>H-PA-13</t>
  </si>
  <si>
    <t>E-CU-2</t>
  </si>
  <si>
    <t>Custodial Office</t>
  </si>
  <si>
    <t>M-CU-2</t>
  </si>
  <si>
    <t>Custodial Workroom</t>
  </si>
  <si>
    <t>H-CU-2</t>
  </si>
  <si>
    <t>Total area of support spaces</t>
  </si>
  <si>
    <t>9-12 schools must provide a minimum of three</t>
  </si>
  <si>
    <t>contain at least three course offerings.  Allowable</t>
  </si>
  <si>
    <t>EXISTING SPACES</t>
  </si>
  <si>
    <t>SIZE</t>
  </si>
  <si>
    <t>Agribusiness Systems</t>
  </si>
  <si>
    <t>Agricultural Power, Structural, &amp; Technical Sys.</t>
  </si>
  <si>
    <t>Outdoor Covered Work Area</t>
  </si>
  <si>
    <t>Agricultural Science - Animal or Plant Sys.</t>
  </si>
  <si>
    <t>Outdoor Animal Science Lab</t>
  </si>
  <si>
    <t>Horticulture / Plant Systems</t>
  </si>
  <si>
    <t>Greenhouse</t>
  </si>
  <si>
    <t>Accounting</t>
  </si>
  <si>
    <t>Education &amp; Training</t>
  </si>
  <si>
    <t>Facilities Management, Maintenance, &amp; Services</t>
  </si>
  <si>
    <t>Child Care Guidance, Management, &amp; Services</t>
  </si>
  <si>
    <t>Construction Technology</t>
  </si>
  <si>
    <t>HVACR</t>
  </si>
  <si>
    <t>Commercial Photography</t>
  </si>
  <si>
    <t>Photography Production Lab</t>
  </si>
  <si>
    <t>ROTC</t>
  </si>
  <si>
    <t>ROTC Lab</t>
  </si>
  <si>
    <t>Criminal Justice</t>
  </si>
  <si>
    <t>Electronics</t>
  </si>
  <si>
    <t>Welding</t>
  </si>
  <si>
    <t>Drafting &amp; Design</t>
  </si>
  <si>
    <t>Pre-Engineering</t>
  </si>
  <si>
    <t>Pre-Engineering Lab</t>
  </si>
  <si>
    <t>Automotive Collision</t>
  </si>
  <si>
    <t>Automotive Service Technology</t>
  </si>
  <si>
    <t>Aviation Mechanics</t>
  </si>
  <si>
    <t>Diesel Mechanics</t>
  </si>
  <si>
    <t>Power Equipment Technology</t>
  </si>
  <si>
    <t>TOTALS</t>
  </si>
  <si>
    <t>RUN BY:</t>
  </si>
  <si>
    <t>DATE:</t>
  </si>
  <si>
    <t>BY:</t>
  </si>
  <si>
    <t>MEDIA CENTER</t>
  </si>
  <si>
    <t>REQUIRED SPACES CHECK (QTY MISSING)</t>
  </si>
  <si>
    <t>District -</t>
  </si>
  <si>
    <t>School -</t>
  </si>
  <si>
    <t>Project Number -</t>
  </si>
  <si>
    <t>Computed by -</t>
  </si>
  <si>
    <t xml:space="preserve">Date - </t>
  </si>
  <si>
    <t xml:space="preserve">Cost Center - </t>
  </si>
  <si>
    <t>Batesville</t>
  </si>
  <si>
    <t>(from pull down menu)</t>
  </si>
  <si>
    <t>Addition Type</t>
  </si>
  <si>
    <t>Preliminary Area Funded (Net SF)</t>
  </si>
  <si>
    <t>Academic Core Space</t>
  </si>
  <si>
    <t>Special Education</t>
  </si>
  <si>
    <t>Visual Arts</t>
  </si>
  <si>
    <t xml:space="preserve">Music </t>
  </si>
  <si>
    <t>Food Services</t>
  </si>
  <si>
    <t>ANY DEMOLITION IN PROJECT?</t>
  </si>
  <si>
    <t>ANY ASBESTOS REMOVAL IN PROJECT?</t>
  </si>
  <si>
    <t>TOTAL AVERAGE COST FACTOR PER FOOT</t>
  </si>
  <si>
    <t xml:space="preserve">NOTE:  </t>
  </si>
  <si>
    <t>Camden</t>
  </si>
  <si>
    <t>Fayetteville</t>
  </si>
  <si>
    <t>Fort Smith</t>
  </si>
  <si>
    <t>Harrison</t>
  </si>
  <si>
    <t>Hot Springs</t>
  </si>
  <si>
    <t>Jonesboro</t>
  </si>
  <si>
    <t>Little Rock</t>
  </si>
  <si>
    <t>Pine Bluff</t>
  </si>
  <si>
    <t>Russellville</t>
  </si>
  <si>
    <t>Texarkana</t>
  </si>
  <si>
    <t>West Memphis</t>
  </si>
  <si>
    <r>
      <t xml:space="preserve">DIRECT AND INDIRECT COST OF </t>
    </r>
    <r>
      <rPr>
        <b/>
        <sz val="26"/>
        <color indexed="10"/>
        <rFont val="Times New Roman"/>
        <family val="1"/>
      </rPr>
      <t>ADDITIONS.</t>
    </r>
  </si>
  <si>
    <t>Addition Costs per Foot</t>
  </si>
  <si>
    <t>Conversion Costs per Foot</t>
  </si>
  <si>
    <t>Addition Area (Net SF)</t>
  </si>
  <si>
    <t>Conversion Area (Net SF)</t>
  </si>
  <si>
    <t>CONVERSION OF EXISTING SPACE TO A DIFFERENT USE</t>
  </si>
  <si>
    <t>Unit</t>
  </si>
  <si>
    <t>space conversion</t>
  </si>
  <si>
    <t>Convert Existing to Academic Core</t>
  </si>
  <si>
    <t>sf</t>
  </si>
  <si>
    <t>Convert Existing to Special Education</t>
  </si>
  <si>
    <t>Convert Existing to Media Center</t>
  </si>
  <si>
    <t xml:space="preserve">Convert Existing to Visual Arts </t>
  </si>
  <si>
    <t>Convert Existing to Music</t>
  </si>
  <si>
    <t>Convert Existing to Student Dining</t>
  </si>
  <si>
    <t>Convert Existing to Food Services</t>
  </si>
  <si>
    <r>
      <t xml:space="preserve">DIRECT AND INDIRECT COST OF </t>
    </r>
    <r>
      <rPr>
        <b/>
        <sz val="26"/>
        <color indexed="10"/>
        <rFont val="Times New Roman"/>
        <family val="1"/>
      </rPr>
      <t>SPACE CONVERSION.</t>
    </r>
  </si>
  <si>
    <t>COST FACTOR COMPUTATION SHEET FOR ADDITIONS AND CONVERSIONS</t>
  </si>
  <si>
    <t>Costs X Area</t>
  </si>
  <si>
    <t>(2) Preliminary Area Funded distributed to Addition and Conversion</t>
  </si>
  <si>
    <t xml:space="preserve">(1) Academic Core space from review sheet should be distributed to Visual Arts and Music, if applicable. </t>
  </si>
  <si>
    <t>FUNDED SCOPE FOR PROJECT AGREEMENT</t>
  </si>
  <si>
    <t>Example - xxxx net square feet (SF) of Academic Core spaces and yyyy net SF of Special Education spaces as indicated on district's Partnership Program project application Program of Requirements.  Total project funded is zzzz gross SF.</t>
  </si>
  <si>
    <t>COST TOTAL</t>
  </si>
  <si>
    <t>Grade 1</t>
  </si>
  <si>
    <t>Grade 2</t>
  </si>
  <si>
    <t>Grade 3</t>
  </si>
  <si>
    <t>Grade 4</t>
  </si>
  <si>
    <t>Grade 5</t>
  </si>
  <si>
    <t>Grade 7</t>
  </si>
  <si>
    <t>Grade 8</t>
  </si>
  <si>
    <t>Grade 9</t>
  </si>
  <si>
    <t>Grade 10</t>
  </si>
  <si>
    <t>Grade 11</t>
  </si>
  <si>
    <t>Grade 12</t>
  </si>
  <si>
    <t>1.  NUMBER OF STUDENTS Enter maximum projected number of students during next ten years</t>
  </si>
  <si>
    <t>1-3</t>
  </si>
  <si>
    <t>4-5</t>
  </si>
  <si>
    <t>7-8</t>
  </si>
  <si>
    <t>9-12</t>
  </si>
  <si>
    <t>USER DOCUMENTATION -</t>
  </si>
  <si>
    <t>TOTAL SPACES (sum)</t>
  </si>
  <si>
    <t>NEW SPACES (sum)</t>
  </si>
  <si>
    <t>STANDARD SIZE</t>
  </si>
  <si>
    <t>Notes</t>
  </si>
  <si>
    <t>Maximum class size 20 students</t>
  </si>
  <si>
    <t>One per kindergarten classroom</t>
  </si>
  <si>
    <t>Maximum class size 25 students</t>
  </si>
  <si>
    <t>Maximum class size 28 students</t>
  </si>
  <si>
    <t>Maximum class size 28 students.</t>
  </si>
  <si>
    <t>Maximum class size 30 students.</t>
  </si>
  <si>
    <t>Two required for 700 or more students.</t>
  </si>
  <si>
    <t xml:space="preserve">Maximum class size 30 students.  </t>
  </si>
  <si>
    <t>Minimum one plus one per each 500 students</t>
  </si>
  <si>
    <t>One per each 500 students above 1,000 students.</t>
  </si>
  <si>
    <t>One minimum to 1000 students.  Additional for each 500 above 1000 students.</t>
  </si>
  <si>
    <t>One miminum.  Two above 1500 students.</t>
  </si>
  <si>
    <t>Computed</t>
  </si>
  <si>
    <t>10% of the student capacity multiplied by 35 SF per student.</t>
  </si>
  <si>
    <t>10% of the student capacity multiplied by 40 SF per student.</t>
  </si>
  <si>
    <t>Required for 550 or more students.</t>
  </si>
  <si>
    <t>Substituted for Art and Music Room in ES with less than 550 students</t>
  </si>
  <si>
    <t>Substituted for Art and Music Storage in ES with less than 550 students</t>
  </si>
  <si>
    <t>Minimum one, plus one for each 500 students</t>
  </si>
  <si>
    <t>Minimum one plus additional room for more than 1000 students.</t>
  </si>
  <si>
    <t>Minimum 200 SF.  One-half SF per student.</t>
  </si>
  <si>
    <t>Required for 700 or more students</t>
  </si>
  <si>
    <t>Minimum one for 500 students plus additional room for more than 2000 students.</t>
  </si>
  <si>
    <t>One per vocal room.</t>
  </si>
  <si>
    <t>Minimum 2 @ 400 SF.  Maximum 6 @ 850 SF.</t>
  </si>
  <si>
    <t>Minimum 2 @ 150 SF.  Maximum 6 @ 350 SF.</t>
  </si>
  <si>
    <t>Two required for 1,000 students and above.</t>
  </si>
  <si>
    <t>Required for 500 or more students.</t>
  </si>
  <si>
    <t>One-half of the student capacity multiplied by 15 SF per student.</t>
  </si>
  <si>
    <t>Only one of the two kitchens is to be used - either E-FS-1 or E-FS-2 - not both.</t>
  </si>
  <si>
    <t>2 SF per student.</t>
  </si>
  <si>
    <t>Equal to sum of areas for preparation, serving, dry food storage, cooler/freezer, and ware washing.</t>
  </si>
  <si>
    <t>Student capacity multiplied by 3.5 SF per student multiplied by 36%.</t>
  </si>
  <si>
    <t>Student capacity multiplied by 3.5 SF per student multiplied by 34%.</t>
  </si>
  <si>
    <t>Student capacity multiplied by 3.5 SF per student multiplied by 11%.</t>
  </si>
  <si>
    <t>Student capacity multiplied by 3.5 SF per student multiplied by 10%.</t>
  </si>
  <si>
    <t>Student capacity multiplied by 3.5 SF per student multiplied by 9%.</t>
  </si>
  <si>
    <t>0.5 SF per student.  Minimum 125 SF.</t>
  </si>
  <si>
    <t>Vertical Circulation for Multi-Story Schools</t>
  </si>
  <si>
    <t>Equal to the sum of the program areas, excluding building services, multiplied by 3%.</t>
  </si>
  <si>
    <t>Equal to the sum of the program areas, excluding building services, multiplied by 20%.</t>
  </si>
  <si>
    <t>Equal to the sum of the program areas, excluding building services, multiplied by 5.5%.</t>
  </si>
  <si>
    <t>Minimum 1500 SF.  5 SF per 9-12 student.</t>
  </si>
  <si>
    <t>Minimum 600 SF.  2 SF per 9-12 student.</t>
  </si>
  <si>
    <t xml:space="preserve">NOTES:  PLEASE DESCRIBE  1) ANY CONVERSIONS OF SPACE.  FOR EXAMPLE, EXISTING 3,000 SF STUDENT DINING CONVERTED TO THREE </t>
  </si>
  <si>
    <t xml:space="preserve">                        2)  ANY SHARED SPACES WITH OTHER SCHOOLS.</t>
  </si>
  <si>
    <t xml:space="preserve">                                                     4TH GRADE CLASSROOMS.</t>
  </si>
  <si>
    <t>Food Service</t>
  </si>
  <si>
    <t>Minimum 1. Must maintain ratio of 1:450</t>
  </si>
  <si>
    <t>E-GT-1</t>
  </si>
  <si>
    <t>Gifted and Talented</t>
  </si>
  <si>
    <t>REQUIRED</t>
  </si>
  <si>
    <t>Consumer Services</t>
  </si>
  <si>
    <t>10 SF per student.  Minimum 2,500 SF, Maximum 10,000 SF. Minimum single space size 900 SF.</t>
  </si>
  <si>
    <t>15 SF per student.  Minimum 4,000 SF, Maximum 10,000 SF. Minimum single space size 900 SF.</t>
  </si>
  <si>
    <t>15 SF per student.  Min 6,000 SF, Max 30,000 SF.  Includes aux gym above 1000 students. Minimum 900 SF.</t>
  </si>
  <si>
    <t>E/M/H-AD-20</t>
  </si>
  <si>
    <t>Health Center Restroom</t>
  </si>
  <si>
    <t xml:space="preserve"> </t>
  </si>
  <si>
    <t>2008 or
Before</t>
  </si>
  <si>
    <t>After
2008</t>
  </si>
  <si>
    <t>M-CE 1</t>
  </si>
  <si>
    <t>Career Education</t>
  </si>
  <si>
    <t>H-CE</t>
  </si>
  <si>
    <t>Career Education Program Two</t>
  </si>
  <si>
    <t>Career Education Program Three</t>
  </si>
  <si>
    <t>M-CE-2</t>
  </si>
  <si>
    <t>M-CE-3</t>
  </si>
  <si>
    <t>Career EducationProduction Lab</t>
  </si>
  <si>
    <t>Career Education Storage</t>
  </si>
  <si>
    <r>
      <t xml:space="preserve">Career Education programs. </t>
    </r>
    <r>
      <rPr>
        <sz val="10"/>
        <rFont val="Arial"/>
        <family val="2"/>
      </rPr>
      <t xml:space="preserve"> Each program must </t>
    </r>
  </si>
  <si>
    <t>Career Education total space is shown on Summary sheet.</t>
  </si>
  <si>
    <t>CAREER EDUCATION</t>
  </si>
  <si>
    <t>SCHOOL DISTRICT:</t>
  </si>
  <si>
    <t>SQUARE FOOTAGE CHECK</t>
  </si>
  <si>
    <t>PROJECT NUMBER:</t>
  </si>
  <si>
    <t>PROJECT NAME:</t>
  </si>
  <si>
    <t>AREA MANAGER:</t>
  </si>
  <si>
    <t>CAMPUS</t>
  </si>
  <si>
    <t>ACADEMIC SQFTG</t>
  </si>
  <si>
    <t>NON ACADEMIC SQFTG</t>
  </si>
  <si>
    <t>NOTES</t>
  </si>
  <si>
    <t>ACADEMIC SQFT -------------------------------</t>
  </si>
  <si>
    <t>NON ACADEMIC SQFT--------------------------------------------</t>
  </si>
  <si>
    <t>ACADEMIC + NON ACADEMIC--------------</t>
  </si>
  <si>
    <t>WEBTOOL TOTAL SQFT----------------------</t>
  </si>
  <si>
    <t>SD POR TOTAL SQFT--------------------------</t>
  </si>
  <si>
    <t>MANAGER NOTES:</t>
  </si>
  <si>
    <t>Enrollment Projection Summary</t>
  </si>
  <si>
    <t>Year 1</t>
  </si>
  <si>
    <t>Year 2</t>
  </si>
  <si>
    <t>Year 3</t>
  </si>
  <si>
    <t>Year 4</t>
  </si>
  <si>
    <t>Year 5</t>
  </si>
  <si>
    <t>Year 6</t>
  </si>
  <si>
    <t>Year 7</t>
  </si>
  <si>
    <t>Year 8</t>
  </si>
  <si>
    <t>Year 9</t>
  </si>
  <si>
    <t>Year 10</t>
  </si>
  <si>
    <t>Year 11</t>
  </si>
  <si>
    <t>Grade</t>
  </si>
  <si>
    <t>Enrollment</t>
  </si>
  <si>
    <t>2018-19</t>
  </si>
  <si>
    <t>2019-20</t>
  </si>
  <si>
    <t>2020-21</t>
  </si>
  <si>
    <t>2021-22</t>
  </si>
  <si>
    <t>2022-23</t>
  </si>
  <si>
    <t>2023-24</t>
  </si>
  <si>
    <t>2024-25</t>
  </si>
  <si>
    <t>Other</t>
  </si>
  <si>
    <t>Totals</t>
  </si>
  <si>
    <t>SUITABILITY CHECK</t>
  </si>
  <si>
    <t>PHYS ED</t>
  </si>
  <si>
    <t>MEDIA CTR</t>
  </si>
  <si>
    <t>CAFETERIA</t>
  </si>
  <si>
    <t>PERF ARTS</t>
  </si>
  <si>
    <t>YEAR OPEN</t>
  </si>
  <si>
    <t>NOTES + SOURCE</t>
  </si>
  <si>
    <t>FM DATA ROOM EXPORT</t>
  </si>
  <si>
    <t>DIVISION TOTALS:</t>
  </si>
  <si>
    <t>POR SUBMITTED</t>
  </si>
  <si>
    <t>TOTALS:</t>
  </si>
  <si>
    <t>DELTA:</t>
  </si>
  <si>
    <t>SQFTG</t>
  </si>
  <si>
    <t>Dep %</t>
  </si>
  <si>
    <t>(SQFTG * FCI)</t>
  </si>
  <si>
    <t>DEPRECIATION % AVERAGE =</t>
  </si>
  <si>
    <t>NEW SCHOOL PROJECT SUITABILITY REVIEW</t>
  </si>
  <si>
    <t xml:space="preserve">Review Date: </t>
  </si>
  <si>
    <t>EXISTING SCHOOL NAME</t>
  </si>
  <si>
    <t xml:space="preserve">GRADE LEVELS </t>
  </si>
  <si>
    <t>BV</t>
  </si>
  <si>
    <t>REPLACEMENT/DEMOLITION</t>
  </si>
  <si>
    <t>EXCESS SF FROM POR SUITABILITY</t>
  </si>
  <si>
    <t>TOTAL REQUIRED SF OF NEW SCHOOL CAMPUS (from new school summary POR)</t>
  </si>
  <si>
    <t>TOTAL EXCESS SF OF EXISTING SCHOOLS</t>
  </si>
  <si>
    <t>NET FUNDED SF OF NEW SCHOOL CAMPUS</t>
  </si>
  <si>
    <t>COST FACTOR COMPUTATION SHEET FOR NEW SCHOOLS AND DEMOLITIONS</t>
  </si>
  <si>
    <t>This sheet to be used for new schools involving demolition.  Approved area is the total area qualified by the Division for potential funding.  Calculated QF is the total amount qualified for the project by the Division (Total cost, NOT state share).  Toggle demolition to yes if there is demolition and enter the square feet approved for demolition.  Do the same with asbestos removal.  The result should be your means number to use in calculating the new construction plus the demolition.</t>
  </si>
  <si>
    <t>APPROVED AREA</t>
  </si>
  <si>
    <t>MEANS NUMBER</t>
  </si>
  <si>
    <t>CALCULATED QF</t>
  </si>
  <si>
    <t>(SQ FT)</t>
  </si>
  <si>
    <r>
      <t xml:space="preserve">FROM </t>
    </r>
    <r>
      <rPr>
        <b/>
        <sz val="10"/>
        <rFont val="Arial"/>
        <family val="2"/>
      </rPr>
      <t>NEW SCHOOL</t>
    </r>
    <r>
      <rPr>
        <sz val="10"/>
        <rFont val="Arial"/>
        <family val="2"/>
      </rPr>
      <t xml:space="preserve"> MEANS</t>
    </r>
  </si>
  <si>
    <t>SHEET</t>
  </si>
  <si>
    <t>CE-AG-1</t>
  </si>
  <si>
    <t>CE-AG-2</t>
  </si>
  <si>
    <t>CE-AG-4</t>
  </si>
  <si>
    <t>CE-AG-5</t>
  </si>
  <si>
    <t>CE-AG-6</t>
  </si>
  <si>
    <t>CE-BM-1</t>
  </si>
  <si>
    <t>CE-BM-2</t>
  </si>
  <si>
    <t>CE-BM-3</t>
  </si>
  <si>
    <t>CE-BM-4</t>
  </si>
  <si>
    <t>CE-BM-5</t>
  </si>
  <si>
    <t>CE-BM-6</t>
  </si>
  <si>
    <t>CE-BM-7</t>
  </si>
  <si>
    <t>CE-BM-8</t>
  </si>
  <si>
    <t>CE-BM-9</t>
  </si>
  <si>
    <t>CE-FCS-1</t>
  </si>
  <si>
    <t>CE-FCS-2</t>
  </si>
  <si>
    <t>CE-FCS-3</t>
  </si>
  <si>
    <t>CE-FCS-4</t>
  </si>
  <si>
    <t>CE-FCS-5</t>
  </si>
  <si>
    <t>CE-FCS-6</t>
  </si>
  <si>
    <t>CE-FCS-7</t>
  </si>
  <si>
    <t>CE-FCS-8</t>
  </si>
  <si>
    <t>CE-FCS-9</t>
  </si>
  <si>
    <t>CE-FCS-10</t>
  </si>
  <si>
    <t>CE-FCS-11</t>
  </si>
  <si>
    <t>CE-ARC-1</t>
  </si>
  <si>
    <t>CE-ARC-2</t>
  </si>
  <si>
    <t>CE-ARC-3</t>
  </si>
  <si>
    <t>CE-ARC-4</t>
  </si>
  <si>
    <t>CE-ARC-5</t>
  </si>
  <si>
    <t>CE-AV-1</t>
  </si>
  <si>
    <t>CE-AV-2</t>
  </si>
  <si>
    <t>CE-AV-3</t>
  </si>
  <si>
    <t>CE-AV-4</t>
  </si>
  <si>
    <t>CE-GOV-1</t>
  </si>
  <si>
    <t>CE-LAW-1</t>
  </si>
  <si>
    <t>CE-MAN-1</t>
  </si>
  <si>
    <t>CE-MAN-3</t>
  </si>
  <si>
    <t>CE-MAN-4</t>
  </si>
  <si>
    <t>CE-MAN-5</t>
  </si>
  <si>
    <t>CE-MAN-6</t>
  </si>
  <si>
    <t>CE-ENG-1</t>
  </si>
  <si>
    <t>CE-ENG-2</t>
  </si>
  <si>
    <t>CE-ENG-3</t>
  </si>
  <si>
    <t>CE-ENG-4</t>
  </si>
  <si>
    <t>CE-TDL-1</t>
  </si>
  <si>
    <t>CE-TDL-2</t>
  </si>
  <si>
    <t>CE-TDL-3</t>
  </si>
  <si>
    <t>CE-TDL-5</t>
  </si>
  <si>
    <t>CE-TDL-6</t>
  </si>
  <si>
    <t>1921sport</t>
  </si>
  <si>
    <t>porkchop1921</t>
  </si>
  <si>
    <t>Convert Existing into Auditorium</t>
  </si>
  <si>
    <t>Convert Existing to Career Education</t>
  </si>
  <si>
    <t>Must meet the requirements of ACA 6-20-2517(b)</t>
  </si>
  <si>
    <t>Academic</t>
  </si>
  <si>
    <t>Music</t>
  </si>
  <si>
    <t>these need to be compared like H, and the results used in average means sheet</t>
  </si>
  <si>
    <t>new spaces</t>
  </si>
  <si>
    <t>new spaces standard</t>
  </si>
  <si>
    <t>area fundable (H)</t>
  </si>
  <si>
    <t>NET SF OF EXISTING CAMPUS AFTER DEMOLITIONS</t>
  </si>
  <si>
    <t>Column/Row</t>
  </si>
  <si>
    <t>Recommendation</t>
  </si>
  <si>
    <t>Action</t>
  </si>
  <si>
    <t>Comments</t>
  </si>
  <si>
    <t>Worksheet</t>
  </si>
  <si>
    <t>POR Workbook</t>
  </si>
  <si>
    <t>All inclusive</t>
  </si>
  <si>
    <t>Make changes/corrections to formats for continuity and appearance</t>
  </si>
  <si>
    <t>multiple</t>
  </si>
  <si>
    <t>Clarify how 6th grade requirements are included in Required Space</t>
  </si>
  <si>
    <t>"Summary"</t>
  </si>
  <si>
    <t>6th grade is included and structured as a pivot grade (MS). K6 vs 6-8.</t>
  </si>
  <si>
    <t>B22</t>
  </si>
  <si>
    <t>Change "Support Space Allowance" to "Support Space"</t>
  </si>
  <si>
    <t>changed</t>
  </si>
  <si>
    <t>current wording was confusing.  Is this a cap on space, or a minimum requirement, or a suggested space size?</t>
  </si>
  <si>
    <t>M69</t>
  </si>
  <si>
    <t>Reformulate to remove the 6th grade "if" qualifier</t>
  </si>
  <si>
    <t>No logical reasoning for the current formula to contain 'IF" statement</t>
  </si>
  <si>
    <t>C84</t>
  </si>
  <si>
    <t>Change "250" square feet to "360" square feet</t>
  </si>
  <si>
    <t>to meet recommendation forwarded and approved by Advisory Subcommittee on facility manual</t>
  </si>
  <si>
    <t>C104</t>
  </si>
  <si>
    <t>Change formula to include rounding</t>
  </si>
  <si>
    <t>current formula allows for 1/2 sf.  Rounding to get whole numbers</t>
  </si>
  <si>
    <t>"SuitabilityAnalysis"</t>
  </si>
  <si>
    <t>A6</t>
  </si>
  <si>
    <t>delete or change for clarity</t>
  </si>
  <si>
    <t>Title for the toggle cells to switch between Suitability POR or Excess Space POR</t>
  </si>
  <si>
    <t>Reviewed</t>
  </si>
  <si>
    <t>Reword for clarity</t>
  </si>
  <si>
    <t>A7, added "Suitability"; A8, added "Excess Space"</t>
  </si>
  <si>
    <t>Review PE spaces to determine which are not "fundable" (athletic) and should be removed</t>
  </si>
  <si>
    <t>"SupportSpaces"</t>
  </si>
  <si>
    <t>"RequiredSpaces"</t>
  </si>
  <si>
    <t>A20</t>
  </si>
  <si>
    <t>A7:A8</t>
  </si>
  <si>
    <t>change Performing Arts to Auditorium</t>
  </si>
  <si>
    <t>provide consistency with cost factors on Average Means sheet</t>
  </si>
  <si>
    <t>H12</t>
  </si>
  <si>
    <t>change title to include/clarify "fundable" spaces, not "funded"</t>
  </si>
  <si>
    <t>Rows 14:22</t>
  </si>
  <si>
    <t>modify formulas, as necessary, for "net of New minus Existing"</t>
  </si>
  <si>
    <t>Need working example for testing</t>
  </si>
  <si>
    <t>"Average Means"</t>
  </si>
  <si>
    <t>D15</t>
  </si>
  <si>
    <t>extract Visual Arts and Music spaces from this total, and move to cells D18 and D19, respectively.  Calculate new spaces for these</t>
  </si>
  <si>
    <t>relates to required spaces sheet</t>
  </si>
  <si>
    <t>A24</t>
  </si>
  <si>
    <t>Add Career Education and line for special CE cost factors</t>
  </si>
  <si>
    <t>"Data"</t>
  </si>
  <si>
    <t>made changes to the formatting to improve function and simplify updates from a spreadsheet.  Realigned columns to match links in references on Average Means sheet</t>
  </si>
  <si>
    <t>"Conversions"</t>
  </si>
  <si>
    <t>"Demolitions"</t>
  </si>
  <si>
    <t>Added additional rows and included relevant forumulation</t>
  </si>
  <si>
    <t>B33</t>
  </si>
  <si>
    <t>Added formula to calculate SF of justified demolitions</t>
  </si>
  <si>
    <t>new</t>
  </si>
  <si>
    <t>"SQ FTG"</t>
  </si>
  <si>
    <t>A25</t>
  </si>
  <si>
    <t>Change "Delta" to…?</t>
  </si>
  <si>
    <t>needs to be more descriptive; perhaps add footnote</t>
  </si>
  <si>
    <t>"Enrollment"</t>
  </si>
  <si>
    <t>Changed the format from the original to simplify copy/paste from district report</t>
  </si>
  <si>
    <t>B1:4</t>
  </si>
  <si>
    <t>corrected formulas for reference cells</t>
  </si>
  <si>
    <t>"Suitability"</t>
  </si>
  <si>
    <t>"Depreciation Average"</t>
  </si>
  <si>
    <t>B20; D20</t>
  </si>
  <si>
    <t>simplified formulas</t>
  </si>
  <si>
    <t>"Space Notes"</t>
  </si>
  <si>
    <t>C60</t>
  </si>
  <si>
    <t>change recommended to and approved by Advisory Subcommittee, to be inplemented in 1921</t>
  </si>
  <si>
    <t>Row 61</t>
  </si>
  <si>
    <t>change from 250 to 360; Add note: Must meet the requirements of ACA 6-20-2517(b)</t>
  </si>
  <si>
    <t>Add Health Center Restroom</t>
  </si>
  <si>
    <t>updated cost factors to latest, 11/28/18</t>
  </si>
  <si>
    <t>TBC</t>
  </si>
  <si>
    <t xml:space="preserve">didn't have password for Data and Conversions sheets, and unable to incorporate new cost factors.  Fixed.  </t>
  </si>
  <si>
    <t>Establish new passwords for the workbook and the worksheets; format to hide formulas on public sheets; lock and/or archive all old version templates</t>
  </si>
  <si>
    <t>2025-26</t>
  </si>
  <si>
    <t>2026-27</t>
  </si>
  <si>
    <t>2027-28</t>
  </si>
  <si>
    <t>2028-29</t>
  </si>
  <si>
    <t>2029-30</t>
  </si>
  <si>
    <t>WEIGHTED AVERAGE DEPRECIATED VALUE CALCULATOR</t>
  </si>
  <si>
    <t>NEW SCHOOL IN DISTRICT   (EXCESS SPACE)</t>
  </si>
  <si>
    <t xml:space="preserve">FOR ADDITION PROJECT      (SUITABILITY) </t>
  </si>
  <si>
    <t>SELECT PROJECT TYPE BY DROPDOWN</t>
  </si>
  <si>
    <t>DIFFERENCE</t>
  </si>
  <si>
    <t>AREA FUNDABLE
 (NET SF)</t>
  </si>
  <si>
    <t>no change</t>
  </si>
  <si>
    <t>some spaces may be considered 'athletic'.  Removed HPE2, 8, 12</t>
  </si>
  <si>
    <t>~</t>
  </si>
  <si>
    <t>DECOMMISSIONING</t>
  </si>
  <si>
    <t>AGRICULTURE SCIENCE AND TECHNOLOGY</t>
  </si>
  <si>
    <t>Agribusiness Project Lab/Classroom</t>
  </si>
  <si>
    <t>Ag Mechanics Lab Area</t>
  </si>
  <si>
    <t>CE-AG-3</t>
  </si>
  <si>
    <t>Food Products &amp; Processing Systems</t>
  </si>
  <si>
    <t>Food Product Development Project Lab/Classroom</t>
  </si>
  <si>
    <t>BUSINESS AND MARKETING TECHNOLOGY</t>
  </si>
  <si>
    <t>Accounting Instructional Multi-purpose</t>
  </si>
  <si>
    <t>Banking Services</t>
  </si>
  <si>
    <t>Banking &amp; Business Instructional Multi-purpose</t>
  </si>
  <si>
    <t>Travel and Tourism</t>
  </si>
  <si>
    <t>Hospitality and Tourism Project Lab/Classroom</t>
  </si>
  <si>
    <t>General Management</t>
  </si>
  <si>
    <t>Business Management Instructional Multi-purpose</t>
  </si>
  <si>
    <t>Administrative Support</t>
  </si>
  <si>
    <t>Office &amp; Medical Office Administration Instructional Multi-purpose</t>
  </si>
  <si>
    <t xml:space="preserve">Marketing Management </t>
  </si>
  <si>
    <t>Marketing Business Enterprise Instructional Multi-purpose</t>
  </si>
  <si>
    <t>Marketing Research</t>
  </si>
  <si>
    <t>Digital Marketing Instructional Multi-purpose</t>
  </si>
  <si>
    <t>Merchandising</t>
  </si>
  <si>
    <t>Retail Management Instructional Multi-purpose</t>
  </si>
  <si>
    <t>Logistics Planning and Management Services</t>
  </si>
  <si>
    <t>Banking &amp; Finance Instructional Multi-purpose</t>
  </si>
  <si>
    <t>FAMILY &amp; CONSUMER SCIENCE</t>
  </si>
  <si>
    <t>Virsual Arts</t>
  </si>
  <si>
    <t>Clothing and Housing Sewing/Area</t>
  </si>
  <si>
    <t>Clothing and Housing Fitting Room</t>
  </si>
  <si>
    <t>Clothing and Housing Laundry/Area</t>
  </si>
  <si>
    <t>Family &amp; Community Sciences</t>
  </si>
  <si>
    <t>Family &amp; Consumer Sciences Lab/Classroom</t>
  </si>
  <si>
    <t xml:space="preserve">Food Prep Lab Area (kitchen units)  </t>
  </si>
  <si>
    <t>Consumer Services Lab/Classroom</t>
  </si>
  <si>
    <t>Education &amp; Training Lab/Classroom</t>
  </si>
  <si>
    <t>Restaurant and Food Beverage Services</t>
  </si>
  <si>
    <t>Food Production, Management, &amp; Services Lab/Classroom</t>
  </si>
  <si>
    <t>Facilities Management, Maintenance, &amp; Services Lab/Classroom</t>
  </si>
  <si>
    <t>Child Care Guidance, Management, &amp; Services Lab/Classroom</t>
  </si>
  <si>
    <t>Laundry Area</t>
  </si>
  <si>
    <t>ARCHITECTURE &amp; CONSTRUCTION</t>
  </si>
  <si>
    <t>Construction Technology Lab Area</t>
  </si>
  <si>
    <t>HVACR Lab Area</t>
  </si>
  <si>
    <t>Architectural CAD</t>
  </si>
  <si>
    <t>Architectural CAD Production Lab</t>
  </si>
  <si>
    <t>Engineering CAD</t>
  </si>
  <si>
    <t>Engineering CAD Production Lab</t>
  </si>
  <si>
    <t>Drafting &amp; Design Production Lab</t>
  </si>
  <si>
    <t>CE-ARC-6</t>
  </si>
  <si>
    <t xml:space="preserve">ARTS, A/V TECHNOLOGY, &amp; COMMUNICATION </t>
  </si>
  <si>
    <t>A/V Tech &amp; Film</t>
  </si>
  <si>
    <t>A/V Film Lab</t>
  </si>
  <si>
    <t>Radio Broadcasting</t>
  </si>
  <si>
    <t>Radio Lab</t>
  </si>
  <si>
    <t>Television Production</t>
  </si>
  <si>
    <t>Television Lab</t>
  </si>
  <si>
    <t>Advertising &amp; Graphic Design</t>
  </si>
  <si>
    <t>Advertising &amp; Graphic Design Lab</t>
  </si>
  <si>
    <t>CE-AV-5</t>
  </si>
  <si>
    <t>GOVERNMENT &amp; PUBLIC ADMINISTRATION</t>
  </si>
  <si>
    <t>HEALTH SCIENCE</t>
  </si>
  <si>
    <t xml:space="preserve">Medical Professions </t>
  </si>
  <si>
    <t>CE-HS-1</t>
  </si>
  <si>
    <t>MedPro Lab/Clinic Area</t>
  </si>
  <si>
    <t>Sports Medicine</t>
  </si>
  <si>
    <t>CE-HS-2</t>
  </si>
  <si>
    <t>Sports Medicine Lab/Clinic Area</t>
  </si>
  <si>
    <t>Emergency Preparedness</t>
  </si>
  <si>
    <t>CE-HS-3</t>
  </si>
  <si>
    <t>Emergency Preparedness Lab</t>
  </si>
  <si>
    <t>Biomedical Sciences</t>
  </si>
  <si>
    <t>CE-HS-4</t>
  </si>
  <si>
    <t>Biomedical Sciences Lab</t>
  </si>
  <si>
    <t xml:space="preserve">LAW, PUBLIC SAFETY, CORRECTIONS &amp; SECURITY </t>
  </si>
  <si>
    <t>Criminal Justice Lab/Classroom (forensics)</t>
  </si>
  <si>
    <t>MANUFACTURING</t>
  </si>
  <si>
    <t>Industrial Equipment Technology</t>
  </si>
  <si>
    <t>Industrial Equipment Lab Area</t>
  </si>
  <si>
    <t>Electronics Lab Area</t>
  </si>
  <si>
    <t>Advanced Manufacturing</t>
  </si>
  <si>
    <t>Advanced Manufacturing Lab Area</t>
  </si>
  <si>
    <t>Precision Machine Tool Technology</t>
  </si>
  <si>
    <t>Machine Tool Lab Area</t>
  </si>
  <si>
    <t>Welding Lab Area</t>
  </si>
  <si>
    <t xml:space="preserve">SCIENCE, TECHNOLOGY, ENGINEERING, &amp; MATHEMATICS </t>
  </si>
  <si>
    <t>Drafting &amp; Design Lab/Classroom</t>
  </si>
  <si>
    <t>Pre-Engineering Lab/Classroom</t>
  </si>
  <si>
    <t>Unmanned Aerial Systems</t>
  </si>
  <si>
    <t>Unmanned Aerial Systems Lab/Classroom</t>
  </si>
  <si>
    <t>Automation and Robotics Technology</t>
  </si>
  <si>
    <t>Automation and Robotics Technology Lab/Classroom</t>
  </si>
  <si>
    <t>TRANSPORTATION, DISTRIBUTION, &amp; LOGISTICS</t>
  </si>
  <si>
    <t>Automotive Collision Repair Lab Area</t>
  </si>
  <si>
    <t>Automotive Service Technology Lab Area</t>
  </si>
  <si>
    <t>Aviation Mechanics Lab Area</t>
  </si>
  <si>
    <t>Diesel Mechanics Lab Area</t>
  </si>
  <si>
    <t>Power Equipment Technology Lab Area</t>
  </si>
  <si>
    <t>Other - Not listed above</t>
  </si>
  <si>
    <t>Carrer Education</t>
  </si>
  <si>
    <t>Changed/New</t>
  </si>
  <si>
    <t>M-WD-1</t>
  </si>
  <si>
    <t>Workforce Dev Program One</t>
  </si>
  <si>
    <t>Workforce Dev Program Two</t>
  </si>
  <si>
    <t>Workforce Dev Program Three</t>
  </si>
  <si>
    <t>Career Education Program (see Career Education worksheet)</t>
  </si>
  <si>
    <t>3 Units Minimum</t>
  </si>
  <si>
    <t>Maximum 10 sq. ft. per student.</t>
  </si>
  <si>
    <t>Support Spaces</t>
  </si>
  <si>
    <t>HPE-6 Remove Atheletic Office/PE Only</t>
  </si>
  <si>
    <t>Change</t>
  </si>
  <si>
    <t>HPE-10 Remove Training Room</t>
  </si>
  <si>
    <t>MPE-2 Remove Atheletic</t>
  </si>
  <si>
    <t>Career Education spaces - separate classrooms, offices, storage spaces deleted per CTE staff</t>
  </si>
  <si>
    <t>Overall school size considers CTE spaces chosen by district for construction.  Space maximum 10 sq. ft. / student</t>
  </si>
  <si>
    <t>Career Education spaces changed per CTE staff</t>
  </si>
  <si>
    <t>Agribusiness Lab</t>
  </si>
  <si>
    <t>Ag Mechanics Lab</t>
  </si>
  <si>
    <t>- CE-AG-3</t>
  </si>
  <si>
    <t>Cold Frame</t>
  </si>
  <si>
    <t>CE-AG-7</t>
  </si>
  <si>
    <t>Shade House</t>
  </si>
  <si>
    <t>CE-AG-8</t>
  </si>
  <si>
    <t>Hydroponics Lab</t>
  </si>
  <si>
    <t>Natural Resources / Environmental Service Sys.</t>
  </si>
  <si>
    <t>CE-AG-9</t>
  </si>
  <si>
    <t>Aquaculture Lab</t>
  </si>
  <si>
    <t>Related Spaces</t>
  </si>
  <si>
    <t>CE-AG-10</t>
  </si>
  <si>
    <t>Classroom</t>
  </si>
  <si>
    <t>CE-AG-11</t>
  </si>
  <si>
    <t>Office</t>
  </si>
  <si>
    <t>CE-AG-12</t>
  </si>
  <si>
    <t>Restrooms/Locker Rooms</t>
  </si>
  <si>
    <t>CE-AG-13</t>
  </si>
  <si>
    <t>Business Marketing</t>
  </si>
  <si>
    <t>Management</t>
  </si>
  <si>
    <t>Management Lab</t>
  </si>
  <si>
    <t>Office Administration</t>
  </si>
  <si>
    <t>Office Administration Lab</t>
  </si>
  <si>
    <t>Hospitality</t>
  </si>
  <si>
    <t>Hospitality Lab</t>
  </si>
  <si>
    <t>Lodging</t>
  </si>
  <si>
    <t>Lodging Lab</t>
  </si>
  <si>
    <t>Desktop Publishing</t>
  </si>
  <si>
    <t>Desktop Publishing Lab</t>
  </si>
  <si>
    <t>Multimedia</t>
  </si>
  <si>
    <t>Multimedia Lab</t>
  </si>
  <si>
    <t>Programming</t>
  </si>
  <si>
    <t>Programming Lab</t>
  </si>
  <si>
    <t>Accounting Lab</t>
  </si>
  <si>
    <t>Banking &amp; Finance</t>
  </si>
  <si>
    <t>Banking &amp; Finance Lab</t>
  </si>
  <si>
    <t>Marketing</t>
  </si>
  <si>
    <t>CE-BM-10</t>
  </si>
  <si>
    <t>Marketing Lab</t>
  </si>
  <si>
    <t>CE-BM-11</t>
  </si>
  <si>
    <t>CE-BM-12</t>
  </si>
  <si>
    <t>CE-BM-13</t>
  </si>
  <si>
    <t>Family &amp; Consumer Sciences</t>
  </si>
  <si>
    <t>Family &amp; Consumer Sciences Lab</t>
  </si>
  <si>
    <t xml:space="preserve">Food Prep Lab (kitchen units)  </t>
  </si>
  <si>
    <t xml:space="preserve">Sewing Lab </t>
  </si>
  <si>
    <t>Fitting Room</t>
  </si>
  <si>
    <t>Laundry</t>
  </si>
  <si>
    <t>CE-FCS-19</t>
  </si>
  <si>
    <t>Consumer Services Lab</t>
  </si>
  <si>
    <t>Education &amp; Training Lab</t>
  </si>
  <si>
    <t>Food Production, Management, &amp; Services</t>
  </si>
  <si>
    <t>Food Production, Management, &amp; Services Lab</t>
  </si>
  <si>
    <t>Facilities Management, Maintenance, &amp; Services Lab</t>
  </si>
  <si>
    <t>Child Care Guidance, Management, &amp; Services Lab</t>
  </si>
  <si>
    <t>Cosmetology</t>
  </si>
  <si>
    <t>CE-FCS-12</t>
  </si>
  <si>
    <t>Cosmetology Lab</t>
  </si>
  <si>
    <t>Required Spaces in Cosmetology Lab - included in required SF</t>
  </si>
  <si>
    <t>CE-FCS-20</t>
  </si>
  <si>
    <t>CE-FCS-21</t>
  </si>
  <si>
    <t>Reception</t>
  </si>
  <si>
    <t>CE-FCS-22</t>
  </si>
  <si>
    <t>Supply</t>
  </si>
  <si>
    <t>CE-FCS-23</t>
  </si>
  <si>
    <t>Dispensary</t>
  </si>
  <si>
    <t>CE-FCS-16</t>
  </si>
  <si>
    <t>CE-FCS-13</t>
  </si>
  <si>
    <t>Cosmetology Clinic Area</t>
  </si>
  <si>
    <t>CE-FCS-14</t>
  </si>
  <si>
    <t>Cosmetology Instruction Area</t>
  </si>
  <si>
    <t>CE-FCS-15</t>
  </si>
  <si>
    <t>CE-FCS-17</t>
  </si>
  <si>
    <t>Restrooms</t>
  </si>
  <si>
    <t>CE-FCS-18</t>
  </si>
  <si>
    <t>Architecture and Construction Services</t>
  </si>
  <si>
    <t>Construction Technology Lab</t>
  </si>
  <si>
    <t>HVACR Lab</t>
  </si>
  <si>
    <t>ARTS, AV TECHNOLOGY, &amp; COMMUNICATION SPACES</t>
  </si>
  <si>
    <t>Advertising Design</t>
  </si>
  <si>
    <t>Advertising Design Lab</t>
  </si>
  <si>
    <t>Career Communications</t>
  </si>
  <si>
    <t>Career Communications Lab</t>
  </si>
  <si>
    <t>Photography Workroom</t>
  </si>
  <si>
    <t>Graphic Communications</t>
  </si>
  <si>
    <t>CE-AV-6</t>
  </si>
  <si>
    <t>Graphic Communication Work Area</t>
  </si>
  <si>
    <t>CE-AV-7</t>
  </si>
  <si>
    <t>Performing Arts Studio</t>
  </si>
  <si>
    <t>CE-AV-8</t>
  </si>
  <si>
    <t>Dressing Rooms</t>
  </si>
  <si>
    <t>CE-AV-9</t>
  </si>
  <si>
    <t>Performing Arts Storage</t>
  </si>
  <si>
    <t>Radio / TV Broadcasting</t>
  </si>
  <si>
    <t>CE-AV-10</t>
  </si>
  <si>
    <t>Radio / TV Broadcasting Lab</t>
  </si>
  <si>
    <t>CE-AV-11</t>
  </si>
  <si>
    <t>CE-AV-12</t>
  </si>
  <si>
    <t>CE-AV-13</t>
  </si>
  <si>
    <t>Government and Public Education Spaces</t>
  </si>
  <si>
    <t>CE-GOV-2</t>
  </si>
  <si>
    <t>CE-GOV-3</t>
  </si>
  <si>
    <t>CE-GOV-4</t>
  </si>
  <si>
    <t>Health Science Spaces</t>
  </si>
  <si>
    <t>Medical Professions Education</t>
  </si>
  <si>
    <t>CE-HSC-1</t>
  </si>
  <si>
    <t>Clinic Area</t>
  </si>
  <si>
    <t>CE-HSC-2</t>
  </si>
  <si>
    <t>CE-HSC-3</t>
  </si>
  <si>
    <t>CE-HSC-4</t>
  </si>
  <si>
    <t>Law, Public Safety and Security Spaces</t>
  </si>
  <si>
    <t>Criminal Justice Lab (forensics)</t>
  </si>
  <si>
    <t>CE-LAW-2</t>
  </si>
  <si>
    <t>CE-LAW-3</t>
  </si>
  <si>
    <t>CE-LAW-4</t>
  </si>
  <si>
    <t>Manufacturing Spaces</t>
  </si>
  <si>
    <t>Electronics Lab</t>
  </si>
  <si>
    <t>Furniture Manufacturing</t>
  </si>
  <si>
    <t>CE-MAN-2</t>
  </si>
  <si>
    <t>Furniture Manufacturing Lab</t>
  </si>
  <si>
    <t>Industrial Equipment Maintenance</t>
  </si>
  <si>
    <t>Industrial Equipment Lab</t>
  </si>
  <si>
    <t>Machine Tool Technology</t>
  </si>
  <si>
    <t>Machine Tool Lab</t>
  </si>
  <si>
    <t>Major Appliance Repair</t>
  </si>
  <si>
    <t>Major Appliance Repair Lab</t>
  </si>
  <si>
    <t>Welding Lab</t>
  </si>
  <si>
    <t>CE-MAN-7</t>
  </si>
  <si>
    <t>CE-MAN-8</t>
  </si>
  <si>
    <t>CE-MAN-9</t>
  </si>
  <si>
    <t>SCIENCE, TECHNOLOGY, ENGINEERING, &amp; MATHEMATICS SPACES</t>
  </si>
  <si>
    <t>Drafting &amp; Design Lab</t>
  </si>
  <si>
    <t>Computer Engineering</t>
  </si>
  <si>
    <t>Computer Engineering Lab</t>
  </si>
  <si>
    <t>Geospatial Technology (GIS)</t>
  </si>
  <si>
    <t>Geospatial Technology (GIS) Lab</t>
  </si>
  <si>
    <t>CE-ENG-5</t>
  </si>
  <si>
    <t>CE-ENG-6</t>
  </si>
  <si>
    <t xml:space="preserve">Office </t>
  </si>
  <si>
    <t>CE-ENG-7</t>
  </si>
  <si>
    <t>Transportation, Distribution, &amp; Logistics Spaces</t>
  </si>
  <si>
    <t>Automotive Collision Repair Lab</t>
  </si>
  <si>
    <t>Automotive Service Technology Lab</t>
  </si>
  <si>
    <t>Aviation Mechanics Lab</t>
  </si>
  <si>
    <t>CE-TDL-4</t>
  </si>
  <si>
    <t>Aviation Technology Lab</t>
  </si>
  <si>
    <t>Diesel Mechanics Lab</t>
  </si>
  <si>
    <t>Power Equipment Technology Lab</t>
  </si>
  <si>
    <t>CE-TDL-7</t>
  </si>
  <si>
    <t>CE-TDL-8</t>
  </si>
  <si>
    <t>CE-TDL-9</t>
  </si>
  <si>
    <t>P.E. Office</t>
  </si>
  <si>
    <t>PE GYMNASIUM</t>
  </si>
  <si>
    <t>NO - Single Story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</si>
</sst>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quot;$&quot;#,##0.00_);\(&quot;$&quot;#,##0.00\)"/>
    <numFmt numFmtId="44" formatCode="_(&quot;$&quot;* #,##0.00_);_(&quot;$&quot;* \(#,##0.00\);_(&quot;$&quot;* &quot;-&quot;??_);_(@_)"/>
    <numFmt numFmtId="164" formatCode="&quot;$&quot;#,##0.00"/>
    <numFmt numFmtId="165" formatCode="[$-1010409]#,##0"/>
    <numFmt numFmtId="166" formatCode="0_);\(0\)"/>
  </numFmts>
  <fonts count="59">
    <font>
      <sz val="10"/>
      <name val="Arial"/>
    </font>
    <font>
      <sz val="11"/>
      <color theme="1"/>
      <name val="Calibri"/>
      <family val="2"/>
      <scheme val="minor"/>
    </font>
    <font>
      <sz val="10"/>
      <name val="Arial"/>
      <family val="2"/>
    </font>
    <font>
      <sz val="8"/>
      <name val="Arial"/>
      <family val="2"/>
    </font>
    <font>
      <b/>
      <sz val="10"/>
      <name val="Arial"/>
      <family val="2"/>
    </font>
    <font>
      <sz val="10"/>
      <name val="Arial"/>
      <family val="2"/>
    </font>
    <font>
      <sz val="14"/>
      <name val="Arial"/>
      <family val="2"/>
    </font>
    <font>
      <sz val="12"/>
      <name val="Arial"/>
      <family val="2"/>
    </font>
    <font>
      <b/>
      <sz val="10"/>
      <color indexed="8"/>
      <name val="Arial"/>
      <family val="2"/>
    </font>
    <font>
      <b/>
      <sz val="12"/>
      <name val="Arial"/>
      <family val="2"/>
    </font>
    <font>
      <b/>
      <sz val="10"/>
      <color indexed="8"/>
      <name val="Arial"/>
      <family val="2"/>
    </font>
    <font>
      <sz val="10"/>
      <color indexed="8"/>
      <name val="Arial"/>
      <family val="2"/>
    </font>
    <font>
      <sz val="9"/>
      <name val="Arial"/>
      <family val="2"/>
    </font>
    <font>
      <sz val="10"/>
      <color indexed="8"/>
      <name val="Arial"/>
      <family val="2"/>
    </font>
    <font>
      <b/>
      <sz val="14"/>
      <name val="Arial"/>
      <family val="2"/>
    </font>
    <font>
      <b/>
      <sz val="16"/>
      <name val="Arial"/>
      <family val="2"/>
    </font>
    <font>
      <sz val="12"/>
      <name val="Times New Roman"/>
      <family val="1"/>
    </font>
    <font>
      <sz val="11"/>
      <name val="Times New Roman"/>
      <family val="1"/>
    </font>
    <font>
      <sz val="10"/>
      <name val="Times New Roman"/>
      <family val="1"/>
    </font>
    <font>
      <b/>
      <sz val="18"/>
      <color indexed="10"/>
      <name val="Times New Roman"/>
      <family val="1"/>
    </font>
    <font>
      <sz val="12"/>
      <name val="Arial"/>
      <family val="2"/>
    </font>
    <font>
      <b/>
      <sz val="26"/>
      <color indexed="10"/>
      <name val="Times New Roman"/>
      <family val="1"/>
    </font>
    <font>
      <b/>
      <sz val="12"/>
      <name val="Times New Roman"/>
      <family val="1"/>
    </font>
    <font>
      <b/>
      <sz val="11"/>
      <name val="Times New Roman"/>
      <family val="1"/>
    </font>
    <font>
      <b/>
      <sz val="14"/>
      <name val="Times New Roman"/>
      <family val="1"/>
    </font>
    <font>
      <sz val="14"/>
      <name val="Times New Roman"/>
      <family val="1"/>
    </font>
    <font>
      <b/>
      <sz val="10"/>
      <name val="Arial"/>
      <family val="2"/>
    </font>
    <font>
      <sz val="11"/>
      <color indexed="8"/>
      <name val="Calibri"/>
      <family val="2"/>
    </font>
    <font>
      <b/>
      <sz val="10"/>
      <color indexed="8"/>
      <name val="Verdana"/>
      <family val="2"/>
    </font>
    <font>
      <b/>
      <sz val="8"/>
      <color indexed="8"/>
      <name val="Verdana"/>
      <family val="2"/>
    </font>
    <font>
      <sz val="8"/>
      <color indexed="8"/>
      <name val="Verdana"/>
      <family val="2"/>
    </font>
    <font>
      <i/>
      <sz val="10"/>
      <name val="Arial"/>
      <family val="2"/>
    </font>
    <font>
      <b/>
      <sz val="15"/>
      <name val="Times New Roman"/>
      <family val="1"/>
    </font>
    <font>
      <strike/>
      <sz val="10"/>
      <color indexed="8"/>
      <name val="Arial"/>
      <family val="2"/>
    </font>
    <font>
      <b/>
      <sz val="10"/>
      <color indexed="8"/>
      <name val="Arial"/>
      <family val="2"/>
    </font>
    <font>
      <sz val="9"/>
      <name val="Arial"/>
      <family val="2"/>
    </font>
    <font>
      <sz val="10"/>
      <color indexed="8"/>
      <name val="Arial"/>
      <family val="2"/>
    </font>
    <font>
      <sz val="9"/>
      <color indexed="8"/>
      <name val="Arial"/>
      <family val="2"/>
    </font>
    <font>
      <sz val="8"/>
      <color indexed="8"/>
      <name val="Arial"/>
      <family val="2"/>
    </font>
    <font>
      <sz val="11"/>
      <color theme="1"/>
      <name val="Calibri"/>
      <family val="2"/>
      <scheme val="minor"/>
    </font>
    <font>
      <u/>
      <sz val="10"/>
      <color rgb="FFFF0000"/>
      <name val="Arial"/>
      <family val="2"/>
    </font>
    <font>
      <sz val="10"/>
      <color theme="0"/>
      <name val="Arial"/>
      <family val="2"/>
    </font>
    <font>
      <b/>
      <sz val="10"/>
      <color rgb="FF000000"/>
      <name val="Arial"/>
      <family val="2"/>
    </font>
    <font>
      <sz val="10"/>
      <color theme="1"/>
      <name val="Arial"/>
      <family val="2"/>
    </font>
    <font>
      <sz val="10"/>
      <color rgb="FF000000"/>
      <name val="Arial"/>
      <family val="2"/>
    </font>
    <font>
      <b/>
      <u/>
      <sz val="10"/>
      <color rgb="FF000000"/>
      <name val="Arial"/>
      <family val="2"/>
    </font>
    <font>
      <u/>
      <sz val="10"/>
      <name val="Arial"/>
      <family val="2"/>
    </font>
    <font>
      <b/>
      <u/>
      <sz val="10"/>
      <name val="Arial"/>
      <family val="2"/>
    </font>
    <font>
      <u/>
      <sz val="10"/>
      <color rgb="FF000000"/>
      <name val="Arial"/>
      <family val="2"/>
    </font>
    <font>
      <u/>
      <sz val="10"/>
      <color theme="1"/>
      <name val="Arial"/>
      <family val="2"/>
    </font>
    <font>
      <b/>
      <u/>
      <sz val="10"/>
      <color rgb="FF000000"/>
      <name val="Roboto"/>
    </font>
    <font>
      <b/>
      <u/>
      <sz val="12"/>
      <color rgb="FF000000"/>
      <name val="Arial"/>
      <family val="2"/>
    </font>
    <font>
      <u/>
      <sz val="9"/>
      <name val="Arial"/>
      <family val="2"/>
    </font>
    <font>
      <u/>
      <sz val="10"/>
      <color indexed="8"/>
      <name val="Arial"/>
      <family val="2"/>
    </font>
    <font>
      <b/>
      <strike/>
      <sz val="10"/>
      <color indexed="8"/>
      <name val="Arial"/>
      <family val="2"/>
    </font>
    <font>
      <sz val="10"/>
      <name val="Arial"/>
      <family val="2"/>
    </font>
    <font>
      <sz val="9"/>
      <name val="Arial"/>
      <family val="2"/>
    </font>
    <font>
      <sz val="10"/>
      <color indexed="8"/>
      <name val="Arial"/>
      <family val="2"/>
    </font>
    <font>
      <sz val="11"/>
      <name val="Arial"/>
      <family val="2"/>
    </font>
  </fonts>
  <fills count="30">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indexed="63"/>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1"/>
        <bgColor indexed="64"/>
      </patternFill>
    </fill>
    <fill>
      <patternFill patternType="solid">
        <fgColor rgb="FFFFC000"/>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rgb="FFCCFFFF"/>
        <bgColor indexed="64"/>
      </patternFill>
    </fill>
    <fill>
      <patternFill patternType="solid">
        <fgColor theme="6" tint="0.39997558519241921"/>
        <bgColor indexed="64"/>
      </patternFill>
    </fill>
    <fill>
      <patternFill patternType="solid">
        <fgColor rgb="FFCCFFFF"/>
        <bgColor rgb="FFCCFFFF"/>
      </patternFill>
    </fill>
  </fills>
  <borders count="108">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
      <left style="thin">
        <color indexed="64"/>
      </left>
      <right/>
      <top/>
      <bottom/>
      <diagonal/>
    </border>
    <border>
      <left/>
      <right/>
      <top/>
      <bottom style="medium">
        <color indexed="8"/>
      </bottom>
      <diagonal/>
    </border>
    <border>
      <left style="thick">
        <color indexed="64"/>
      </left>
      <right/>
      <top style="thick">
        <color indexed="64"/>
      </top>
      <bottom style="thick">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thick">
        <color indexed="64"/>
      </left>
      <right style="thin">
        <color indexed="64"/>
      </right>
      <top/>
      <bottom style="thin">
        <color indexed="8"/>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bottom style="thin">
        <color indexed="64"/>
      </bottom>
      <diagonal/>
    </border>
    <border>
      <left style="medium">
        <color indexed="8"/>
      </left>
      <right/>
      <top/>
      <bottom/>
      <diagonal/>
    </border>
    <border>
      <left style="thick">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8"/>
      </right>
      <top/>
      <bottom/>
      <diagonal/>
    </border>
    <border>
      <left style="medium">
        <color indexed="8"/>
      </left>
      <right style="thin">
        <color indexed="64"/>
      </right>
      <top style="medium">
        <color indexed="8"/>
      </top>
      <bottom style="medium">
        <color indexed="8"/>
      </bottom>
      <diagonal/>
    </border>
    <border>
      <left style="thin">
        <color indexed="64"/>
      </left>
      <right style="thin">
        <color indexed="64"/>
      </right>
      <top/>
      <bottom style="thin">
        <color indexed="64"/>
      </bottom>
      <diagonal/>
    </border>
    <border>
      <left style="thin">
        <color indexed="64"/>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ck">
        <color indexed="64"/>
      </right>
      <top style="thick">
        <color indexed="64"/>
      </top>
      <bottom style="thick">
        <color indexed="64"/>
      </bottom>
      <diagonal/>
    </border>
    <border>
      <left style="thin">
        <color indexed="64"/>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ck">
        <color indexed="64"/>
      </left>
      <right/>
      <top/>
      <bottom/>
      <diagonal/>
    </border>
    <border>
      <left/>
      <right/>
      <top/>
      <bottom style="thin">
        <color indexed="64"/>
      </bottom>
      <diagonal/>
    </border>
    <border>
      <left style="thin">
        <color indexed="8"/>
      </left>
      <right style="thin">
        <color indexed="8"/>
      </right>
      <top style="thin">
        <color indexed="8"/>
      </top>
      <bottom/>
      <diagonal/>
    </border>
    <border>
      <left/>
      <right/>
      <top style="medium">
        <color indexed="8"/>
      </top>
      <bottom/>
      <diagonal/>
    </border>
    <border>
      <left style="medium">
        <color indexed="22"/>
      </left>
      <right style="medium">
        <color indexed="22"/>
      </right>
      <top style="medium">
        <color indexed="22"/>
      </top>
      <bottom style="medium">
        <color indexed="22"/>
      </bottom>
      <diagonal/>
    </border>
    <border>
      <left style="medium">
        <color indexed="22"/>
      </left>
      <right style="medium">
        <color indexed="8"/>
      </right>
      <top style="medium">
        <color indexed="22"/>
      </top>
      <bottom style="medium">
        <color indexed="22"/>
      </bottom>
      <diagonal/>
    </border>
    <border>
      <left style="medium">
        <color indexed="22"/>
      </left>
      <right style="medium">
        <color indexed="22"/>
      </right>
      <top style="medium">
        <color indexed="22"/>
      </top>
      <bottom style="medium">
        <color indexed="8"/>
      </bottom>
      <diagonal/>
    </border>
    <border>
      <left style="medium">
        <color indexed="22"/>
      </left>
      <right style="medium">
        <color indexed="22"/>
      </right>
      <top style="medium">
        <color indexed="8"/>
      </top>
      <bottom style="medium">
        <color indexed="8"/>
      </bottom>
      <diagonal/>
    </border>
    <border>
      <left style="medium">
        <color indexed="22"/>
      </left>
      <right style="medium">
        <color indexed="22"/>
      </right>
      <top style="medium">
        <color indexed="8"/>
      </top>
      <bottom style="medium">
        <color indexed="22"/>
      </bottom>
      <diagonal/>
    </border>
    <border>
      <left style="thin">
        <color indexed="64"/>
      </left>
      <right style="thin">
        <color indexed="8"/>
      </right>
      <top style="thin">
        <color indexed="64"/>
      </top>
      <bottom style="thin">
        <color indexed="64"/>
      </bottom>
      <diagonal/>
    </border>
    <border>
      <left style="thin">
        <color indexed="64"/>
      </left>
      <right/>
      <top/>
      <bottom style="thin">
        <color indexed="8"/>
      </bottom>
      <diagonal/>
    </border>
    <border>
      <left style="thick">
        <color indexed="64"/>
      </left>
      <right/>
      <top/>
      <bottom style="thin">
        <color indexed="8"/>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top style="thin">
        <color indexed="64"/>
      </top>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top style="thick">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ck">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rgb="FF000000"/>
      </left>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style="medium">
        <color indexed="64"/>
      </bottom>
      <diagonal/>
    </border>
  </borders>
  <cellStyleXfs count="89">
    <xf numFmtId="0" fontId="0" fillId="0" borderId="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9" fillId="0" borderId="0"/>
    <xf numFmtId="0" fontId="5"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alignment wrapText="1"/>
    </xf>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1"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4" fontId="2" fillId="0" borderId="0" applyFont="0" applyFill="0" applyBorder="0" applyAlignment="0" applyProtection="0"/>
  </cellStyleXfs>
  <cellXfs count="905">
    <xf numFmtId="0" fontId="0" fillId="0" borderId="0" xfId="0"/>
    <xf numFmtId="0" fontId="0" fillId="0" borderId="1" xfId="0" applyBorder="1"/>
    <xf numFmtId="0" fontId="0" fillId="0" borderId="0" xfId="0" applyFill="1" applyBorder="1"/>
    <xf numFmtId="0" fontId="0" fillId="0" borderId="0" xfId="0" applyFill="1"/>
    <xf numFmtId="0" fontId="0" fillId="0" borderId="0" xfId="0" applyAlignment="1">
      <alignment horizontal="center"/>
    </xf>
    <xf numFmtId="0" fontId="4" fillId="0" borderId="0" xfId="0" applyFont="1"/>
    <xf numFmtId="0" fontId="4" fillId="0" borderId="0" xfId="0" applyFont="1" applyAlignment="1">
      <alignment horizontal="center"/>
    </xf>
    <xf numFmtId="0" fontId="4" fillId="0" borderId="0" xfId="0" applyFont="1" applyAlignment="1">
      <alignment horizontal="center" wrapText="1"/>
    </xf>
    <xf numFmtId="0" fontId="0" fillId="0" borderId="0" xfId="0" applyAlignment="1"/>
    <xf numFmtId="3" fontId="0" fillId="0" borderId="0" xfId="0" applyNumberFormat="1"/>
    <xf numFmtId="49" fontId="0" fillId="0" borderId="0" xfId="0" applyNumberFormat="1"/>
    <xf numFmtId="14" fontId="0" fillId="0" borderId="0" xfId="0" applyNumberFormat="1" applyAlignment="1">
      <alignment horizontal="center"/>
    </xf>
    <xf numFmtId="0" fontId="4" fillId="0" borderId="0" xfId="0" applyFont="1" applyFill="1" applyAlignment="1" applyProtection="1">
      <alignment horizontal="left"/>
    </xf>
    <xf numFmtId="0" fontId="0" fillId="0" borderId="0" xfId="0" applyFill="1" applyBorder="1" applyProtection="1"/>
    <xf numFmtId="0" fontId="0" fillId="0" borderId="0" xfId="0" applyFill="1" applyProtection="1"/>
    <xf numFmtId="0" fontId="4" fillId="0" borderId="0" xfId="0" applyFont="1" applyFill="1" applyProtection="1"/>
    <xf numFmtId="0" fontId="5" fillId="0" borderId="0" xfId="0" applyFont="1" applyFill="1" applyProtection="1"/>
    <xf numFmtId="0" fontId="0" fillId="3" borderId="3" xfId="0" applyFill="1" applyBorder="1" applyAlignment="1" applyProtection="1">
      <alignment horizontal="center"/>
      <protection locked="0"/>
    </xf>
    <xf numFmtId="1" fontId="0" fillId="0" borderId="0" xfId="0" applyNumberFormat="1" applyFill="1" applyBorder="1" applyProtection="1"/>
    <xf numFmtId="3" fontId="0" fillId="3" borderId="3" xfId="0" applyNumberFormat="1" applyFill="1" applyBorder="1" applyProtection="1">
      <protection locked="0"/>
    </xf>
    <xf numFmtId="0" fontId="5" fillId="0" borderId="0" xfId="0" applyFont="1" applyFill="1" applyBorder="1" applyAlignment="1" applyProtection="1">
      <alignment horizontal="center"/>
    </xf>
    <xf numFmtId="0" fontId="5" fillId="0" borderId="0" xfId="0" applyFont="1" applyFill="1" applyBorder="1" applyAlignment="1" applyProtection="1">
      <alignment vertical="center"/>
    </xf>
    <xf numFmtId="0" fontId="5" fillId="0" borderId="0" xfId="0" applyFont="1" applyFill="1" applyBorder="1" applyProtection="1"/>
    <xf numFmtId="37" fontId="5" fillId="0" borderId="0" xfId="0" applyNumberFormat="1" applyFont="1" applyFill="1" applyBorder="1" applyAlignment="1" applyProtection="1">
      <alignment horizontal="center" vertical="center"/>
    </xf>
    <xf numFmtId="37" fontId="5" fillId="0" borderId="0" xfId="0" applyNumberFormat="1" applyFont="1" applyFill="1" applyBorder="1" applyAlignment="1" applyProtection="1">
      <alignment horizontal="right" vertical="center"/>
    </xf>
    <xf numFmtId="4" fontId="5" fillId="0" borderId="0" xfId="0" applyNumberFormat="1" applyFont="1" applyFill="1" applyBorder="1" applyAlignment="1" applyProtection="1">
      <alignment horizontal="right"/>
    </xf>
    <xf numFmtId="0" fontId="5" fillId="0" borderId="4" xfId="0" applyFont="1" applyFill="1" applyBorder="1" applyAlignment="1" applyProtection="1">
      <alignment horizontal="center"/>
    </xf>
    <xf numFmtId="3" fontId="5" fillId="0" borderId="0" xfId="0" applyNumberFormat="1" applyFont="1" applyFill="1" applyBorder="1" applyAlignment="1" applyProtection="1">
      <alignment horizontal="right"/>
    </xf>
    <xf numFmtId="0" fontId="4" fillId="0" borderId="0" xfId="0" applyFont="1" applyFill="1" applyBorder="1" applyAlignment="1" applyProtection="1">
      <alignment vertical="center"/>
    </xf>
    <xf numFmtId="16" fontId="5" fillId="0" borderId="0" xfId="0" quotePrefix="1" applyNumberFormat="1" applyFont="1" applyFill="1" applyBorder="1" applyProtection="1"/>
    <xf numFmtId="0" fontId="8" fillId="0" borderId="5" xfId="0" applyFont="1" applyFill="1" applyBorder="1" applyAlignment="1" applyProtection="1">
      <alignment horizontal="center" vertical="center"/>
    </xf>
    <xf numFmtId="0" fontId="9" fillId="0" borderId="0" xfId="0" applyFont="1" applyFill="1" applyProtection="1"/>
    <xf numFmtId="0" fontId="4" fillId="0" borderId="6" xfId="0" applyFont="1" applyFill="1" applyBorder="1" applyAlignment="1" applyProtection="1">
      <alignment horizontal="center" vertical="center"/>
    </xf>
    <xf numFmtId="0" fontId="8" fillId="0" borderId="7" xfId="0" applyFont="1" applyFill="1" applyBorder="1" applyAlignment="1" applyProtection="1">
      <alignment horizontal="centerContinuous"/>
    </xf>
    <xf numFmtId="0" fontId="8" fillId="0" borderId="8" xfId="0" applyFont="1" applyFill="1" applyBorder="1" applyAlignment="1" applyProtection="1">
      <alignment horizontal="centerContinuous"/>
    </xf>
    <xf numFmtId="0" fontId="8" fillId="0" borderId="9" xfId="0" applyFont="1" applyFill="1" applyBorder="1" applyAlignment="1" applyProtection="1">
      <alignment horizontal="center"/>
    </xf>
    <xf numFmtId="0" fontId="8" fillId="0" borderId="10" xfId="0" applyFont="1" applyFill="1" applyBorder="1" applyAlignment="1" applyProtection="1">
      <alignment horizontal="center"/>
    </xf>
    <xf numFmtId="0" fontId="8" fillId="0" borderId="11" xfId="0" applyFont="1" applyFill="1" applyBorder="1" applyAlignment="1" applyProtection="1">
      <alignment horizontal="center"/>
    </xf>
    <xf numFmtId="0" fontId="8" fillId="0" borderId="12" xfId="0" applyFont="1" applyFill="1" applyBorder="1" applyAlignment="1" applyProtection="1">
      <alignment horizontal="center"/>
    </xf>
    <xf numFmtId="0" fontId="8" fillId="0" borderId="13" xfId="0" applyFont="1" applyFill="1" applyBorder="1" applyAlignment="1" applyProtection="1">
      <alignment horizontal="centerContinuous"/>
    </xf>
    <xf numFmtId="0" fontId="10" fillId="0" borderId="0" xfId="0" applyFont="1" applyFill="1" applyBorder="1" applyAlignment="1" applyProtection="1">
      <alignment horizontal="left"/>
    </xf>
    <xf numFmtId="0" fontId="8" fillId="0" borderId="0" xfId="0" applyFont="1" applyFill="1" applyBorder="1" applyAlignment="1" applyProtection="1">
      <alignment horizontal="center"/>
    </xf>
    <xf numFmtId="0" fontId="8" fillId="0" borderId="14"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0" fillId="0" borderId="17" xfId="0" applyFill="1" applyBorder="1" applyProtection="1"/>
    <xf numFmtId="0" fontId="5" fillId="0" borderId="1" xfId="0" applyFont="1" applyFill="1" applyBorder="1" applyProtection="1"/>
    <xf numFmtId="0" fontId="11" fillId="0" borderId="1" xfId="0" applyFont="1" applyFill="1" applyBorder="1" applyAlignment="1" applyProtection="1">
      <alignment vertical="center"/>
    </xf>
    <xf numFmtId="37" fontId="11" fillId="0" borderId="16" xfId="0" applyNumberFormat="1" applyFont="1" applyFill="1" applyBorder="1" applyAlignment="1" applyProtection="1">
      <alignment vertical="center"/>
    </xf>
    <xf numFmtId="0" fontId="2" fillId="3" borderId="15" xfId="0" applyFont="1" applyFill="1" applyBorder="1" applyAlignment="1" applyProtection="1">
      <alignment horizontal="center"/>
      <protection locked="0"/>
    </xf>
    <xf numFmtId="0" fontId="0" fillId="3" borderId="16" xfId="0" applyFill="1" applyBorder="1" applyAlignment="1" applyProtection="1">
      <alignment horizontal="right"/>
      <protection locked="0"/>
    </xf>
    <xf numFmtId="0" fontId="0" fillId="3" borderId="15" xfId="0" applyFill="1" applyBorder="1" applyAlignment="1" applyProtection="1">
      <alignment horizontal="center"/>
      <protection locked="0"/>
    </xf>
    <xf numFmtId="1" fontId="0" fillId="0" borderId="15" xfId="0" applyNumberFormat="1" applyFill="1" applyBorder="1" applyAlignment="1" applyProtection="1">
      <alignment horizontal="center"/>
    </xf>
    <xf numFmtId="1" fontId="0" fillId="0" borderId="17" xfId="0" applyNumberFormat="1" applyFill="1" applyBorder="1" applyAlignment="1" applyProtection="1">
      <alignment horizontal="center"/>
    </xf>
    <xf numFmtId="0" fontId="0" fillId="0" borderId="1" xfId="0" applyFill="1" applyBorder="1" applyProtection="1"/>
    <xf numFmtId="0" fontId="13" fillId="0" borderId="1" xfId="0" applyFont="1" applyFill="1" applyBorder="1" applyAlignment="1" applyProtection="1">
      <alignment vertical="center"/>
    </xf>
    <xf numFmtId="0" fontId="13" fillId="3" borderId="16" xfId="0" applyFont="1" applyFill="1" applyBorder="1" applyAlignment="1" applyProtection="1">
      <alignment horizontal="right" vertical="center"/>
      <protection locked="0"/>
    </xf>
    <xf numFmtId="0" fontId="13" fillId="3" borderId="15" xfId="0" applyFont="1" applyFill="1" applyBorder="1" applyAlignment="1" applyProtection="1">
      <alignment horizontal="center" vertical="center"/>
      <protection locked="0"/>
    </xf>
    <xf numFmtId="0" fontId="0" fillId="0" borderId="18" xfId="0" applyFill="1" applyBorder="1" applyProtection="1"/>
    <xf numFmtId="1" fontId="0" fillId="4" borderId="17" xfId="0" applyNumberFormat="1" applyFill="1" applyBorder="1" applyAlignment="1" applyProtection="1">
      <alignment horizontal="center"/>
    </xf>
    <xf numFmtId="0" fontId="4" fillId="0" borderId="1" xfId="0" applyFont="1" applyFill="1" applyBorder="1" applyProtection="1"/>
    <xf numFmtId="0" fontId="10" fillId="0" borderId="1" xfId="0" applyFont="1" applyFill="1" applyBorder="1" applyAlignment="1" applyProtection="1">
      <alignment vertical="center"/>
    </xf>
    <xf numFmtId="0" fontId="5" fillId="0" borderId="12" xfId="0" applyFont="1" applyFill="1" applyBorder="1" applyProtection="1"/>
    <xf numFmtId="0" fontId="11" fillId="0" borderId="10" xfId="0" applyFont="1" applyFill="1" applyBorder="1" applyAlignment="1" applyProtection="1">
      <alignment vertical="center"/>
    </xf>
    <xf numFmtId="37" fontId="11" fillId="0" borderId="0" xfId="0" applyNumberFormat="1" applyFont="1" applyFill="1" applyBorder="1" applyAlignment="1" applyProtection="1">
      <alignment horizontal="center" vertical="center"/>
    </xf>
    <xf numFmtId="37" fontId="11" fillId="0" borderId="19" xfId="0" applyNumberFormat="1" applyFont="1" applyFill="1" applyBorder="1" applyAlignment="1" applyProtection="1">
      <alignment vertical="center"/>
    </xf>
    <xf numFmtId="1" fontId="0" fillId="0" borderId="19" xfId="0" applyNumberFormat="1" applyFill="1" applyBorder="1" applyProtection="1"/>
    <xf numFmtId="37" fontId="13" fillId="0" borderId="20" xfId="0" applyNumberFormat="1" applyFont="1" applyFill="1" applyBorder="1" applyAlignment="1" applyProtection="1">
      <alignment horizontal="center" vertical="center"/>
    </xf>
    <xf numFmtId="37" fontId="13" fillId="0" borderId="21" xfId="0" applyNumberFormat="1" applyFont="1" applyFill="1" applyBorder="1" applyAlignment="1" applyProtection="1">
      <alignment vertical="center"/>
    </xf>
    <xf numFmtId="0" fontId="0" fillId="3" borderId="22" xfId="0" applyFill="1" applyBorder="1" applyAlignment="1" applyProtection="1">
      <alignment horizontal="right"/>
      <protection locked="0"/>
    </xf>
    <xf numFmtId="1" fontId="0" fillId="0" borderId="20" xfId="0" applyNumberFormat="1" applyFill="1" applyBorder="1" applyAlignment="1" applyProtection="1">
      <alignment horizontal="center"/>
    </xf>
    <xf numFmtId="1" fontId="0" fillId="0" borderId="21" xfId="0" applyNumberFormat="1" applyFill="1" applyBorder="1" applyProtection="1"/>
    <xf numFmtId="0" fontId="2" fillId="3" borderId="17" xfId="0" applyFont="1" applyFill="1" applyBorder="1" applyAlignment="1" applyProtection="1">
      <alignment horizontal="center"/>
      <protection locked="0"/>
    </xf>
    <xf numFmtId="0" fontId="5" fillId="0" borderId="23" xfId="0" applyFont="1" applyFill="1" applyBorder="1" applyProtection="1"/>
    <xf numFmtId="0" fontId="0" fillId="3" borderId="25" xfId="0" applyFill="1" applyBorder="1" applyAlignment="1" applyProtection="1">
      <alignment horizontal="right"/>
      <protection locked="0"/>
    </xf>
    <xf numFmtId="0" fontId="0" fillId="3" borderId="24" xfId="0" applyFill="1" applyBorder="1" applyAlignment="1" applyProtection="1">
      <alignment horizontal="center"/>
      <protection locked="0"/>
    </xf>
    <xf numFmtId="0" fontId="5" fillId="0" borderId="26" xfId="0" applyFont="1" applyFill="1" applyBorder="1" applyProtection="1"/>
    <xf numFmtId="0" fontId="0" fillId="3" borderId="27" xfId="0" applyFill="1" applyBorder="1" applyAlignment="1" applyProtection="1">
      <alignment horizontal="right"/>
      <protection locked="0"/>
    </xf>
    <xf numFmtId="0" fontId="0" fillId="3" borderId="26" xfId="0" applyFill="1" applyBorder="1" applyAlignment="1" applyProtection="1">
      <alignment horizontal="center"/>
      <protection locked="0"/>
    </xf>
    <xf numFmtId="0" fontId="0" fillId="3" borderId="18" xfId="0" applyFill="1" applyBorder="1" applyProtection="1">
      <protection locked="0"/>
    </xf>
    <xf numFmtId="0" fontId="14" fillId="0" borderId="0" xfId="0" applyFont="1" applyProtection="1"/>
    <xf numFmtId="0" fontId="0" fillId="0" borderId="0" xfId="0" applyProtection="1"/>
    <xf numFmtId="0" fontId="9" fillId="0" borderId="0" xfId="0" applyFont="1" applyProtection="1"/>
    <xf numFmtId="0" fontId="4" fillId="0" borderId="0" xfId="0" applyFont="1" applyProtection="1"/>
    <xf numFmtId="0" fontId="0" fillId="3" borderId="28" xfId="0" applyFill="1" applyBorder="1" applyAlignment="1" applyProtection="1">
      <alignment horizontal="center"/>
      <protection locked="0"/>
    </xf>
    <xf numFmtId="0" fontId="0" fillId="0" borderId="0" xfId="0" applyAlignment="1" applyProtection="1">
      <alignment horizontal="center"/>
    </xf>
    <xf numFmtId="0" fontId="0" fillId="0" borderId="0" xfId="0" applyBorder="1" applyAlignment="1" applyProtection="1"/>
    <xf numFmtId="3" fontId="0" fillId="5" borderId="0" xfId="0" applyNumberFormat="1" applyFill="1" applyProtection="1"/>
    <xf numFmtId="3" fontId="0" fillId="0" borderId="0" xfId="0" applyNumberFormat="1" applyProtection="1"/>
    <xf numFmtId="3" fontId="0" fillId="6" borderId="0" xfId="0" applyNumberFormat="1" applyFill="1" applyProtection="1"/>
    <xf numFmtId="3" fontId="15" fillId="7" borderId="0" xfId="0" applyNumberFormat="1" applyFont="1" applyFill="1" applyProtection="1"/>
    <xf numFmtId="0" fontId="0" fillId="3" borderId="0" xfId="0" applyFill="1" applyProtection="1"/>
    <xf numFmtId="0" fontId="0" fillId="5" borderId="0" xfId="0" applyFill="1" applyProtection="1"/>
    <xf numFmtId="0" fontId="0" fillId="6" borderId="0" xfId="0" applyFill="1" applyProtection="1"/>
    <xf numFmtId="0" fontId="0" fillId="7" borderId="0" xfId="0" applyFill="1" applyProtection="1"/>
    <xf numFmtId="0" fontId="0" fillId="0" borderId="29" xfId="0" applyFill="1" applyBorder="1" applyAlignment="1" applyProtection="1">
      <alignment horizontal="center" wrapText="1"/>
    </xf>
    <xf numFmtId="0" fontId="8" fillId="0" borderId="30" xfId="0" applyFont="1" applyFill="1" applyBorder="1" applyAlignment="1" applyProtection="1">
      <alignment horizontal="center" wrapText="1"/>
    </xf>
    <xf numFmtId="0" fontId="8" fillId="0" borderId="0" xfId="0" applyFont="1" applyFill="1" applyBorder="1" applyAlignment="1" applyProtection="1">
      <alignment horizontal="centerContinuous"/>
    </xf>
    <xf numFmtId="0" fontId="5" fillId="0" borderId="31" xfId="0" applyFont="1" applyFill="1" applyBorder="1" applyProtection="1"/>
    <xf numFmtId="0" fontId="11" fillId="0" borderId="31" xfId="0" applyFont="1" applyFill="1" applyBorder="1" applyAlignment="1" applyProtection="1">
      <alignment vertical="center"/>
    </xf>
    <xf numFmtId="37" fontId="11" fillId="3" borderId="32" xfId="0" applyNumberFormat="1" applyFont="1" applyFill="1" applyBorder="1" applyAlignment="1" applyProtection="1">
      <alignment horizontal="center" vertical="center"/>
      <protection locked="0"/>
    </xf>
    <xf numFmtId="0" fontId="0" fillId="3" borderId="33" xfId="0" applyFill="1" applyBorder="1" applyProtection="1">
      <protection locked="0"/>
    </xf>
    <xf numFmtId="37" fontId="13" fillId="0" borderId="1" xfId="0" applyNumberFormat="1" applyFont="1" applyFill="1" applyBorder="1" applyAlignment="1" applyProtection="1">
      <alignment horizontal="right" vertical="center"/>
    </xf>
    <xf numFmtId="0" fontId="0" fillId="3" borderId="32" xfId="0" applyFill="1" applyBorder="1" applyAlignment="1" applyProtection="1">
      <alignment horizontal="center"/>
      <protection locked="0"/>
    </xf>
    <xf numFmtId="0" fontId="11" fillId="0" borderId="34" xfId="0" applyFont="1" applyFill="1" applyBorder="1" applyAlignment="1" applyProtection="1">
      <alignment vertical="center"/>
    </xf>
    <xf numFmtId="0" fontId="0" fillId="3" borderId="35" xfId="0" applyFill="1" applyBorder="1" applyAlignment="1" applyProtection="1">
      <alignment horizontal="center"/>
      <protection locked="0"/>
    </xf>
    <xf numFmtId="0" fontId="11" fillId="0" borderId="34" xfId="0" applyFont="1" applyFill="1" applyBorder="1" applyProtection="1"/>
    <xf numFmtId="0" fontId="11" fillId="0" borderId="1" xfId="0" applyFont="1" applyFill="1" applyBorder="1" applyAlignment="1" applyProtection="1">
      <alignment horizontal="left" vertical="center"/>
    </xf>
    <xf numFmtId="0" fontId="0" fillId="0" borderId="34" xfId="0" applyFill="1" applyBorder="1" applyProtection="1"/>
    <xf numFmtId="0" fontId="0" fillId="0" borderId="0" xfId="0" applyFill="1" applyAlignment="1" applyProtection="1">
      <alignment horizontal="right"/>
    </xf>
    <xf numFmtId="37" fontId="13" fillId="3" borderId="32"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vertical="center"/>
    </xf>
    <xf numFmtId="0" fontId="13" fillId="3" borderId="32" xfId="0" applyFont="1" applyFill="1" applyBorder="1" applyAlignment="1" applyProtection="1">
      <alignment horizontal="center" vertical="center"/>
      <protection locked="0"/>
    </xf>
    <xf numFmtId="0" fontId="11" fillId="0" borderId="1" xfId="0" applyFont="1" applyFill="1" applyBorder="1" applyAlignment="1" applyProtection="1">
      <alignment vertical="center" wrapText="1"/>
    </xf>
    <xf numFmtId="0" fontId="11" fillId="0" borderId="1" xfId="0" applyFont="1" applyFill="1" applyBorder="1" applyProtection="1"/>
    <xf numFmtId="0" fontId="11" fillId="0" borderId="15" xfId="0" applyFont="1" applyFill="1" applyBorder="1" applyProtection="1"/>
    <xf numFmtId="0" fontId="11" fillId="0" borderId="1" xfId="0" applyFont="1" applyFill="1" applyBorder="1" applyAlignment="1" applyProtection="1">
      <alignment horizontal="left"/>
    </xf>
    <xf numFmtId="0" fontId="11" fillId="0" borderId="0" xfId="0" applyFont="1" applyFill="1" applyBorder="1" applyProtection="1"/>
    <xf numFmtId="0" fontId="11" fillId="0" borderId="0" xfId="0" applyFont="1" applyFill="1" applyBorder="1" applyAlignment="1" applyProtection="1">
      <alignment vertical="center"/>
    </xf>
    <xf numFmtId="37" fontId="13" fillId="0" borderId="0" xfId="0" applyNumberFormat="1" applyFont="1" applyFill="1" applyBorder="1" applyAlignment="1" applyProtection="1">
      <alignment horizontal="right" vertical="center"/>
    </xf>
    <xf numFmtId="0" fontId="0" fillId="3" borderId="1" xfId="0" applyFill="1" applyBorder="1" applyProtection="1">
      <protection locked="0"/>
    </xf>
    <xf numFmtId="0" fontId="0" fillId="0" borderId="4" xfId="0" applyFill="1" applyBorder="1" applyProtection="1"/>
    <xf numFmtId="0" fontId="0" fillId="3" borderId="1" xfId="0" applyFill="1" applyBorder="1" applyAlignment="1" applyProtection="1">
      <alignment horizontal="center"/>
      <protection locked="0"/>
    </xf>
    <xf numFmtId="0" fontId="5" fillId="0" borderId="0" xfId="0" applyFont="1" applyProtection="1"/>
    <xf numFmtId="0" fontId="9" fillId="0" borderId="0" xfId="0" applyFont="1"/>
    <xf numFmtId="0" fontId="0" fillId="3" borderId="1" xfId="0" applyFill="1" applyBorder="1"/>
    <xf numFmtId="0" fontId="0" fillId="0" borderId="18" xfId="0" applyFill="1" applyBorder="1"/>
    <xf numFmtId="0" fontId="0" fillId="3" borderId="1" xfId="0" applyFill="1" applyBorder="1" applyAlignment="1">
      <alignment horizontal="center"/>
    </xf>
    <xf numFmtId="0" fontId="5" fillId="0" borderId="0" xfId="0" applyFont="1" applyFill="1" applyBorder="1"/>
    <xf numFmtId="164" fontId="0" fillId="0" borderId="0" xfId="0" applyNumberFormat="1"/>
    <xf numFmtId="0" fontId="17" fillId="0" borderId="0" xfId="0" applyFont="1" applyFill="1" applyBorder="1" applyAlignment="1">
      <alignment horizontal="left"/>
    </xf>
    <xf numFmtId="0" fontId="18" fillId="0" borderId="0" xfId="0" applyFont="1"/>
    <xf numFmtId="0" fontId="20" fillId="0" borderId="0" xfId="0" applyFont="1"/>
    <xf numFmtId="0" fontId="22" fillId="0" borderId="28" xfId="0" applyFont="1" applyBorder="1" applyAlignment="1">
      <alignment horizontal="center"/>
    </xf>
    <xf numFmtId="0" fontId="23" fillId="0" borderId="28" xfId="0" applyFont="1" applyBorder="1" applyAlignment="1">
      <alignment horizontal="center"/>
    </xf>
    <xf numFmtId="164" fontId="23" fillId="0" borderId="28" xfId="0" applyNumberFormat="1" applyFont="1" applyBorder="1" applyAlignment="1">
      <alignment horizontal="center"/>
    </xf>
    <xf numFmtId="0" fontId="22" fillId="0" borderId="0" xfId="0" applyFont="1" applyBorder="1" applyAlignment="1"/>
    <xf numFmtId="0" fontId="22" fillId="0" borderId="0" xfId="0" applyFont="1" applyBorder="1" applyAlignment="1">
      <alignment wrapText="1"/>
    </xf>
    <xf numFmtId="0" fontId="16" fillId="0" borderId="0" xfId="0" applyFont="1" applyBorder="1" applyAlignment="1">
      <alignment horizontal="center"/>
    </xf>
    <xf numFmtId="0" fontId="16" fillId="0" borderId="0" xfId="0" applyFont="1"/>
    <xf numFmtId="14" fontId="0" fillId="3" borderId="1" xfId="0" applyNumberFormat="1" applyFill="1" applyBorder="1" applyProtection="1">
      <protection locked="0"/>
    </xf>
    <xf numFmtId="14" fontId="0" fillId="0" borderId="0" xfId="0" applyNumberFormat="1" applyFill="1" applyBorder="1" applyAlignment="1">
      <alignment horizontal="center"/>
    </xf>
    <xf numFmtId="0" fontId="18" fillId="0" borderId="0" xfId="0" applyFont="1" applyAlignment="1">
      <alignment horizontal="center"/>
    </xf>
    <xf numFmtId="44" fontId="18" fillId="0" borderId="0" xfId="1" applyFont="1" applyAlignment="1">
      <alignment horizontal="center"/>
    </xf>
    <xf numFmtId="0" fontId="24" fillId="0" borderId="37" xfId="0" applyFont="1" applyBorder="1"/>
    <xf numFmtId="0" fontId="25" fillId="0" borderId="38" xfId="0" applyFont="1" applyBorder="1" applyAlignment="1">
      <alignment wrapText="1"/>
    </xf>
    <xf numFmtId="0" fontId="24" fillId="0" borderId="28" xfId="0" applyFont="1" applyBorder="1" applyAlignment="1">
      <alignment horizontal="center"/>
    </xf>
    <xf numFmtId="0" fontId="22" fillId="0" borderId="10" xfId="0" applyFont="1" applyBorder="1" applyAlignment="1">
      <alignment wrapText="1"/>
    </xf>
    <xf numFmtId="0" fontId="22" fillId="0" borderId="31" xfId="0" applyFont="1" applyBorder="1" applyAlignment="1">
      <alignment wrapText="1"/>
    </xf>
    <xf numFmtId="0" fontId="22" fillId="0" borderId="15" xfId="0" applyFont="1" applyBorder="1" applyAlignment="1">
      <alignment wrapText="1"/>
    </xf>
    <xf numFmtId="0" fontId="22" fillId="0" borderId="1" xfId="0" applyFont="1" applyBorder="1" applyAlignment="1">
      <alignment wrapText="1"/>
    </xf>
    <xf numFmtId="0" fontId="18" fillId="0" borderId="0" xfId="0" applyFont="1" applyAlignment="1">
      <alignment wrapText="1"/>
    </xf>
    <xf numFmtId="0" fontId="0" fillId="0" borderId="0" xfId="0" applyFill="1" applyBorder="1" applyAlignment="1">
      <alignment horizontal="center"/>
    </xf>
    <xf numFmtId="0" fontId="4" fillId="0" borderId="0" xfId="0" applyFont="1" applyFill="1" applyBorder="1" applyAlignment="1" applyProtection="1">
      <alignment horizontal="right"/>
    </xf>
    <xf numFmtId="0" fontId="5" fillId="0" borderId="0" xfId="0" applyFont="1" applyFill="1" applyAlignment="1" applyProtection="1">
      <alignment horizontal="right"/>
    </xf>
    <xf numFmtId="0" fontId="5" fillId="0" borderId="0" xfId="0" applyFont="1" applyFill="1" applyBorder="1" applyAlignment="1" applyProtection="1">
      <alignment horizontal="right"/>
    </xf>
    <xf numFmtId="49" fontId="0" fillId="0" borderId="0" xfId="0" applyNumberFormat="1" applyFill="1" applyBorder="1" applyProtection="1"/>
    <xf numFmtId="49" fontId="0" fillId="0" borderId="0" xfId="0" applyNumberFormat="1" applyFill="1" applyBorder="1" applyAlignment="1" applyProtection="1">
      <alignment horizontal="right"/>
    </xf>
    <xf numFmtId="14" fontId="0" fillId="0" borderId="0" xfId="0" applyNumberFormat="1" applyProtection="1"/>
    <xf numFmtId="0" fontId="0" fillId="0" borderId="39" xfId="0" applyFill="1" applyBorder="1" applyProtection="1"/>
    <xf numFmtId="1" fontId="0" fillId="0" borderId="39" xfId="0" applyNumberFormat="1" applyFill="1" applyBorder="1" applyProtection="1"/>
    <xf numFmtId="0" fontId="13" fillId="0" borderId="0" xfId="0" applyFont="1" applyFill="1" applyBorder="1" applyAlignment="1" applyProtection="1">
      <alignment vertical="center"/>
    </xf>
    <xf numFmtId="37" fontId="13" fillId="0" borderId="0" xfId="0" applyNumberFormat="1" applyFont="1" applyFill="1" applyBorder="1" applyAlignment="1" applyProtection="1">
      <alignment vertical="center"/>
    </xf>
    <xf numFmtId="37" fontId="11" fillId="0" borderId="0" xfId="0" applyNumberFormat="1" applyFont="1" applyFill="1" applyBorder="1" applyAlignment="1" applyProtection="1">
      <alignment horizontal="right" vertical="center"/>
    </xf>
    <xf numFmtId="37" fontId="11" fillId="0" borderId="0" xfId="0" applyNumberFormat="1" applyFont="1" applyFill="1" applyBorder="1" applyAlignment="1" applyProtection="1">
      <alignment vertical="center"/>
    </xf>
    <xf numFmtId="0" fontId="13" fillId="0" borderId="0" xfId="0" applyFont="1" applyFill="1" applyBorder="1" applyAlignment="1" applyProtection="1">
      <alignment horizontal="center" vertical="center"/>
    </xf>
    <xf numFmtId="37" fontId="13" fillId="0" borderId="0" xfId="0" applyNumberFormat="1" applyFont="1" applyFill="1" applyBorder="1" applyAlignment="1" applyProtection="1">
      <alignment horizontal="center" vertical="center"/>
    </xf>
    <xf numFmtId="37" fontId="13" fillId="0" borderId="4" xfId="0" applyNumberFormat="1" applyFont="1" applyFill="1" applyBorder="1" applyAlignment="1" applyProtection="1">
      <alignment horizontal="right" vertical="center"/>
    </xf>
    <xf numFmtId="37" fontId="10" fillId="0" borderId="4" xfId="0" applyNumberFormat="1" applyFont="1" applyFill="1" applyBorder="1" applyAlignment="1" applyProtection="1">
      <alignment horizontal="center" vertical="center"/>
    </xf>
    <xf numFmtId="0" fontId="4" fillId="0" borderId="4" xfId="0" applyFont="1" applyFill="1" applyBorder="1" applyAlignment="1" applyProtection="1">
      <alignment horizontal="center"/>
    </xf>
    <xf numFmtId="0" fontId="0" fillId="0" borderId="22" xfId="0" applyFill="1" applyBorder="1" applyAlignment="1" applyProtection="1">
      <alignment horizontal="right"/>
    </xf>
    <xf numFmtId="0" fontId="8" fillId="0" borderId="15" xfId="0" applyFont="1" applyFill="1" applyBorder="1" applyAlignment="1" applyProtection="1">
      <alignment horizontal="center"/>
    </xf>
    <xf numFmtId="0" fontId="8" fillId="8" borderId="11" xfId="0" applyFont="1" applyFill="1" applyBorder="1" applyAlignment="1" applyProtection="1">
      <alignment horizontal="center"/>
    </xf>
    <xf numFmtId="0" fontId="8" fillId="0" borderId="16" xfId="0" applyFont="1" applyFill="1" applyBorder="1" applyAlignment="1" applyProtection="1">
      <alignment horizontal="center"/>
    </xf>
    <xf numFmtId="37" fontId="11" fillId="3" borderId="16" xfId="0" applyNumberFormat="1" applyFont="1" applyFill="1" applyBorder="1" applyAlignment="1" applyProtection="1">
      <alignment vertical="center"/>
      <protection locked="0"/>
    </xf>
    <xf numFmtId="0" fontId="0" fillId="0" borderId="0" xfId="0" applyFill="1" applyAlignment="1" applyProtection="1">
      <alignment horizontal="center"/>
    </xf>
    <xf numFmtId="1" fontId="0" fillId="3" borderId="40" xfId="0" applyNumberFormat="1" applyFill="1" applyBorder="1" applyAlignment="1" applyProtection="1">
      <alignment horizontal="center"/>
      <protection locked="0"/>
    </xf>
    <xf numFmtId="1" fontId="0" fillId="3" borderId="41" xfId="0" applyNumberFormat="1" applyFill="1" applyBorder="1" applyAlignment="1" applyProtection="1">
      <alignment horizontal="center"/>
      <protection locked="0"/>
    </xf>
    <xf numFmtId="0" fontId="0" fillId="3" borderId="42" xfId="0" applyFill="1" applyBorder="1" applyAlignment="1" applyProtection="1">
      <alignment horizontal="center"/>
      <protection locked="0"/>
    </xf>
    <xf numFmtId="0" fontId="0" fillId="3" borderId="40" xfId="0" applyFill="1" applyBorder="1" applyAlignment="1" applyProtection="1">
      <alignment horizontal="center"/>
      <protection locked="0"/>
    </xf>
    <xf numFmtId="0" fontId="0" fillId="3" borderId="41" xfId="0" applyFill="1" applyBorder="1" applyAlignment="1" applyProtection="1">
      <alignment horizontal="center"/>
      <protection locked="0"/>
    </xf>
    <xf numFmtId="0" fontId="0" fillId="3" borderId="0" xfId="0" applyFill="1" applyProtection="1">
      <protection locked="0"/>
    </xf>
    <xf numFmtId="3" fontId="0" fillId="9" borderId="3" xfId="0" applyNumberFormat="1" applyFill="1" applyBorder="1" applyProtection="1">
      <protection locked="0"/>
    </xf>
    <xf numFmtId="37" fontId="5" fillId="10" borderId="0" xfId="0" applyNumberFormat="1" applyFont="1" applyFill="1" applyBorder="1" applyAlignment="1" applyProtection="1">
      <alignment horizontal="right" vertical="center"/>
    </xf>
    <xf numFmtId="14" fontId="0" fillId="0" borderId="0" xfId="0" applyNumberFormat="1" applyAlignment="1">
      <alignment horizontal="left"/>
    </xf>
    <xf numFmtId="0" fontId="4" fillId="0" borderId="1" xfId="0" applyFont="1" applyBorder="1" applyAlignment="1">
      <alignment horizontal="center" wrapText="1"/>
    </xf>
    <xf numFmtId="3" fontId="0" fillId="0" borderId="1" xfId="0" applyNumberFormat="1" applyBorder="1"/>
    <xf numFmtId="0" fontId="0" fillId="0" borderId="1" xfId="0" applyBorder="1" applyAlignment="1">
      <alignment wrapText="1"/>
    </xf>
    <xf numFmtId="3" fontId="0" fillId="0" borderId="18" xfId="0" applyNumberFormat="1" applyBorder="1"/>
    <xf numFmtId="0" fontId="5" fillId="0" borderId="0" xfId="29">
      <alignment wrapText="1"/>
    </xf>
    <xf numFmtId="0" fontId="11" fillId="0" borderId="0" xfId="29" applyFont="1" applyFill="1" applyBorder="1" applyAlignment="1">
      <alignment vertical="top" wrapText="1"/>
    </xf>
    <xf numFmtId="0" fontId="4" fillId="0" borderId="1" xfId="0" applyFont="1" applyFill="1" applyBorder="1" applyAlignment="1">
      <alignment horizontal="center" wrapText="1"/>
    </xf>
    <xf numFmtId="3" fontId="5" fillId="0" borderId="0" xfId="0" applyNumberFormat="1" applyFont="1"/>
    <xf numFmtId="0" fontId="4" fillId="0" borderId="1" xfId="0" applyFont="1" applyBorder="1"/>
    <xf numFmtId="0" fontId="4" fillId="0" borderId="1" xfId="0" applyFont="1" applyBorder="1" applyAlignment="1">
      <alignment horizontal="center"/>
    </xf>
    <xf numFmtId="3" fontId="4" fillId="0" borderId="0" xfId="0" applyNumberFormat="1" applyFont="1"/>
    <xf numFmtId="0" fontId="4" fillId="0" borderId="6" xfId="0" applyFont="1" applyBorder="1"/>
    <xf numFmtId="10" fontId="4" fillId="0" borderId="43" xfId="0" applyNumberFormat="1" applyFont="1" applyBorder="1" applyAlignment="1">
      <alignment horizontal="left"/>
    </xf>
    <xf numFmtId="0" fontId="5" fillId="0" borderId="0" xfId="0" applyFont="1"/>
    <xf numFmtId="0" fontId="5" fillId="0" borderId="0" xfId="0" applyNumberFormat="1" applyFont="1"/>
    <xf numFmtId="49" fontId="0" fillId="3" borderId="1" xfId="0" applyNumberFormat="1" applyFill="1" applyBorder="1"/>
    <xf numFmtId="0" fontId="0" fillId="0" borderId="36" xfId="0" applyBorder="1"/>
    <xf numFmtId="0" fontId="0" fillId="0" borderId="0" xfId="0" applyAlignment="1">
      <alignment wrapText="1"/>
    </xf>
    <xf numFmtId="0" fontId="0" fillId="0" borderId="36" xfId="0" applyFill="1" applyBorder="1"/>
    <xf numFmtId="0" fontId="0" fillId="6" borderId="1" xfId="0" applyFill="1" applyBorder="1"/>
    <xf numFmtId="14" fontId="0" fillId="6" borderId="1" xfId="0" applyNumberFormat="1" applyFill="1" applyBorder="1" applyAlignment="1">
      <alignment horizontal="center"/>
    </xf>
    <xf numFmtId="164" fontId="0" fillId="0" borderId="1" xfId="0" applyNumberFormat="1" applyFill="1" applyBorder="1"/>
    <xf numFmtId="164" fontId="9" fillId="0" borderId="0" xfId="0" applyNumberFormat="1" applyFont="1"/>
    <xf numFmtId="0" fontId="5" fillId="0" borderId="15" xfId="0" applyFont="1" applyFill="1" applyBorder="1" applyProtection="1"/>
    <xf numFmtId="0" fontId="40" fillId="0" borderId="0" xfId="0" applyFont="1" applyFill="1" applyProtection="1"/>
    <xf numFmtId="0" fontId="7" fillId="0" borderId="0" xfId="0" applyFont="1" applyFill="1" applyProtection="1"/>
    <xf numFmtId="1" fontId="0" fillId="0" borderId="0" xfId="0" applyNumberFormat="1" applyFill="1" applyBorder="1" applyAlignment="1" applyProtection="1">
      <alignment horizontal="center"/>
    </xf>
    <xf numFmtId="0" fontId="2" fillId="4" borderId="15" xfId="0" applyFont="1" applyFill="1" applyBorder="1" applyAlignment="1" applyProtection="1">
      <alignment horizontal="center"/>
    </xf>
    <xf numFmtId="0" fontId="13" fillId="4" borderId="16" xfId="0" applyFont="1" applyFill="1" applyBorder="1" applyAlignment="1" applyProtection="1">
      <alignment horizontal="right" vertical="center"/>
    </xf>
    <xf numFmtId="0" fontId="13" fillId="4" borderId="15" xfId="0" applyFont="1" applyFill="1" applyBorder="1" applyAlignment="1" applyProtection="1">
      <alignment horizontal="center" vertical="center"/>
    </xf>
    <xf numFmtId="0" fontId="13" fillId="4" borderId="22" xfId="0" applyFont="1" applyFill="1" applyBorder="1" applyAlignment="1" applyProtection="1">
      <alignment horizontal="right" vertical="center"/>
    </xf>
    <xf numFmtId="0" fontId="2" fillId="0" borderId="19" xfId="0" applyFont="1" applyFill="1" applyBorder="1" applyProtection="1"/>
    <xf numFmtId="0" fontId="13" fillId="0" borderId="19" xfId="0" applyFont="1" applyFill="1" applyBorder="1" applyAlignment="1" applyProtection="1">
      <alignment vertical="center"/>
    </xf>
    <xf numFmtId="37" fontId="13" fillId="0" borderId="0" xfId="0" applyNumberFormat="1" applyFont="1" applyFill="1" applyAlignment="1" applyProtection="1">
      <alignment horizontal="center" vertical="center"/>
    </xf>
    <xf numFmtId="37" fontId="13" fillId="0" borderId="0" xfId="0" applyNumberFormat="1" applyFont="1" applyFill="1" applyAlignment="1" applyProtection="1">
      <alignment vertical="center"/>
    </xf>
    <xf numFmtId="0" fontId="0" fillId="3" borderId="36" xfId="0" applyFill="1" applyBorder="1" applyProtection="1"/>
    <xf numFmtId="0" fontId="4" fillId="9" borderId="0" xfId="0" applyFont="1" applyFill="1" applyBorder="1" applyAlignment="1" applyProtection="1">
      <alignment horizontal="center" vertical="center" wrapText="1"/>
    </xf>
    <xf numFmtId="0" fontId="8" fillId="0" borderId="44" xfId="0" applyFont="1" applyFill="1" applyBorder="1" applyAlignment="1" applyProtection="1">
      <alignment horizontal="center"/>
    </xf>
    <xf numFmtId="0" fontId="4" fillId="0" borderId="45" xfId="0" applyFont="1" applyFill="1" applyBorder="1" applyAlignment="1" applyProtection="1">
      <alignment horizontal="center"/>
    </xf>
    <xf numFmtId="37" fontId="11" fillId="0" borderId="32" xfId="0" applyNumberFormat="1" applyFont="1" applyFill="1" applyBorder="1" applyAlignment="1" applyProtection="1">
      <alignment horizontal="center" vertical="center"/>
    </xf>
    <xf numFmtId="0" fontId="0" fillId="0" borderId="33" xfId="0" applyFill="1" applyBorder="1" applyProtection="1"/>
    <xf numFmtId="0" fontId="0" fillId="0" borderId="35" xfId="0" applyFill="1" applyBorder="1" applyAlignment="1" applyProtection="1">
      <alignment horizontal="center"/>
    </xf>
    <xf numFmtId="0" fontId="13" fillId="0" borderId="32" xfId="0" applyFont="1" applyFill="1" applyBorder="1" applyAlignment="1" applyProtection="1">
      <alignment horizontal="center" vertical="center"/>
    </xf>
    <xf numFmtId="0" fontId="8" fillId="0" borderId="46" xfId="0" applyFont="1" applyFill="1" applyBorder="1" applyAlignment="1" applyProtection="1">
      <alignment horizontal="center"/>
    </xf>
    <xf numFmtId="0" fontId="4" fillId="0" borderId="47" xfId="0" applyFont="1" applyFill="1" applyBorder="1" applyProtection="1"/>
    <xf numFmtId="0" fontId="0" fillId="0" borderId="47" xfId="0" applyFill="1" applyBorder="1" applyProtection="1"/>
    <xf numFmtId="0" fontId="4" fillId="0" borderId="18" xfId="0" applyFont="1" applyFill="1" applyBorder="1" applyProtection="1"/>
    <xf numFmtId="0" fontId="2" fillId="0" borderId="15" xfId="0" applyFont="1" applyFill="1" applyBorder="1" applyAlignment="1" applyProtection="1">
      <alignment horizontal="center"/>
    </xf>
    <xf numFmtId="0" fontId="0" fillId="0" borderId="16" xfId="0" applyFill="1" applyBorder="1" applyAlignment="1" applyProtection="1">
      <alignment horizontal="right"/>
    </xf>
    <xf numFmtId="0" fontId="0" fillId="0" borderId="15" xfId="0" applyFill="1" applyBorder="1" applyAlignment="1" applyProtection="1">
      <alignment horizontal="center"/>
    </xf>
    <xf numFmtId="0" fontId="2" fillId="0" borderId="20" xfId="0" applyFont="1" applyFill="1" applyBorder="1" applyAlignment="1" applyProtection="1">
      <alignment horizontal="center"/>
    </xf>
    <xf numFmtId="0" fontId="0" fillId="0" borderId="21" xfId="0" applyFill="1" applyBorder="1" applyAlignment="1" applyProtection="1">
      <alignment horizontal="right"/>
    </xf>
    <xf numFmtId="0" fontId="0" fillId="0" borderId="32" xfId="0" applyFill="1" applyBorder="1" applyAlignment="1" applyProtection="1">
      <alignment horizontal="center"/>
    </xf>
    <xf numFmtId="0" fontId="0" fillId="0" borderId="33" xfId="0" applyFill="1" applyBorder="1" applyAlignment="1" applyProtection="1">
      <alignment horizontal="center"/>
    </xf>
    <xf numFmtId="0" fontId="0" fillId="0" borderId="48" xfId="0" applyFill="1" applyBorder="1" applyAlignment="1" applyProtection="1">
      <alignment horizontal="center"/>
    </xf>
    <xf numFmtId="0" fontId="0" fillId="0" borderId="48" xfId="0" applyFill="1" applyBorder="1" applyProtection="1"/>
    <xf numFmtId="0" fontId="41" fillId="0" borderId="0" xfId="0" applyFont="1" applyFill="1" applyProtection="1"/>
    <xf numFmtId="0" fontId="41" fillId="0" borderId="0" xfId="0" applyFont="1" applyFill="1" applyBorder="1" applyProtection="1"/>
    <xf numFmtId="0" fontId="0" fillId="0" borderId="0" xfId="0" applyProtection="1">
      <protection locked="0"/>
    </xf>
    <xf numFmtId="0" fontId="5" fillId="11" borderId="0" xfId="0" applyFont="1" applyFill="1" applyBorder="1" applyAlignment="1" applyProtection="1">
      <alignment horizontal="center"/>
    </xf>
    <xf numFmtId="0" fontId="5" fillId="11" borderId="0" xfId="0" applyFont="1" applyFill="1" applyBorder="1" applyAlignment="1" applyProtection="1">
      <alignment vertical="center"/>
    </xf>
    <xf numFmtId="0" fontId="5" fillId="11" borderId="0" xfId="0" applyFont="1" applyFill="1" applyBorder="1" applyProtection="1"/>
    <xf numFmtId="37" fontId="5" fillId="11" borderId="0" xfId="0" applyNumberFormat="1" applyFont="1" applyFill="1" applyBorder="1" applyAlignment="1" applyProtection="1">
      <alignment horizontal="center" vertical="center"/>
    </xf>
    <xf numFmtId="0" fontId="5" fillId="11" borderId="4" xfId="0" applyFont="1" applyFill="1" applyBorder="1" applyAlignment="1" applyProtection="1">
      <alignment horizontal="center"/>
    </xf>
    <xf numFmtId="0" fontId="28" fillId="0" borderId="49" xfId="29" applyFont="1" applyFill="1" applyBorder="1" applyAlignment="1">
      <alignment vertical="top" wrapText="1"/>
    </xf>
    <xf numFmtId="0" fontId="28" fillId="0" borderId="50" xfId="29" applyFont="1" applyFill="1" applyBorder="1" applyAlignment="1">
      <alignment vertical="top" wrapText="1"/>
    </xf>
    <xf numFmtId="0" fontId="29" fillId="0" borderId="51" xfId="29" applyFont="1" applyFill="1" applyBorder="1" applyAlignment="1">
      <alignment vertical="top" wrapText="1"/>
    </xf>
    <xf numFmtId="0" fontId="30" fillId="0" borderId="45" xfId="29" applyFont="1" applyFill="1" applyBorder="1" applyAlignment="1">
      <alignment vertical="top" wrapText="1"/>
    </xf>
    <xf numFmtId="0" fontId="29" fillId="0" borderId="52" xfId="29" applyFont="1" applyFill="1" applyBorder="1" applyAlignment="1">
      <alignment wrapText="1"/>
    </xf>
    <xf numFmtId="0" fontId="29" fillId="0" borderId="53" xfId="29" applyFont="1" applyFill="1" applyBorder="1" applyAlignment="1">
      <alignment wrapText="1"/>
    </xf>
    <xf numFmtId="0" fontId="0" fillId="0" borderId="50" xfId="0" applyFill="1" applyBorder="1" applyAlignment="1"/>
    <xf numFmtId="165" fontId="29" fillId="0" borderId="54" xfId="29" applyNumberFormat="1" applyFont="1" applyFill="1" applyBorder="1" applyAlignment="1">
      <alignment vertical="top" wrapText="1"/>
    </xf>
    <xf numFmtId="0" fontId="29" fillId="0" borderId="54" xfId="29" applyFont="1" applyFill="1" applyBorder="1" applyAlignment="1">
      <alignment vertical="top" wrapText="1"/>
    </xf>
    <xf numFmtId="3" fontId="11" fillId="0" borderId="16" xfId="0" applyNumberFormat="1" applyFont="1" applyFill="1" applyBorder="1" applyAlignment="1" applyProtection="1">
      <alignment vertical="center"/>
    </xf>
    <xf numFmtId="3" fontId="11" fillId="0" borderId="16" xfId="0" applyNumberFormat="1" applyFont="1" applyFill="1" applyBorder="1" applyAlignment="1" applyProtection="1">
      <alignment horizontal="right" vertical="center"/>
    </xf>
    <xf numFmtId="0" fontId="0" fillId="0" borderId="17" xfId="0" applyFill="1" applyBorder="1" applyAlignment="1" applyProtection="1">
      <alignment horizontal="center" vertical="center"/>
    </xf>
    <xf numFmtId="1" fontId="0" fillId="0" borderId="15" xfId="0" applyNumberFormat="1" applyFill="1" applyBorder="1" applyAlignment="1" applyProtection="1">
      <alignment horizontal="right" indent="2"/>
    </xf>
    <xf numFmtId="166" fontId="0" fillId="0" borderId="31" xfId="0" applyNumberFormat="1" applyFill="1" applyBorder="1" applyAlignment="1" applyProtection="1">
      <alignment horizontal="right"/>
    </xf>
    <xf numFmtId="166" fontId="11" fillId="0" borderId="1" xfId="0" applyNumberFormat="1" applyFont="1" applyFill="1" applyBorder="1" applyAlignment="1" applyProtection="1">
      <alignment horizontal="right" vertical="center"/>
    </xf>
    <xf numFmtId="166" fontId="0" fillId="0" borderId="1" xfId="0" applyNumberFormat="1" applyFill="1" applyBorder="1" applyAlignment="1" applyProtection="1">
      <alignment horizontal="right"/>
    </xf>
    <xf numFmtId="166" fontId="13" fillId="0" borderId="1" xfId="0" applyNumberFormat="1" applyFont="1" applyFill="1" applyBorder="1" applyAlignment="1" applyProtection="1">
      <alignment horizontal="right" vertical="center"/>
    </xf>
    <xf numFmtId="166" fontId="11" fillId="0" borderId="55" xfId="0" applyNumberFormat="1" applyFont="1" applyFill="1" applyBorder="1" applyAlignment="1" applyProtection="1">
      <alignment horizontal="right" vertical="center"/>
    </xf>
    <xf numFmtId="166" fontId="0" fillId="0" borderId="0" xfId="0" applyNumberFormat="1" applyFill="1" applyAlignment="1" applyProtection="1">
      <alignment horizontal="right"/>
    </xf>
    <xf numFmtId="166" fontId="0" fillId="0" borderId="18" xfId="0" applyNumberFormat="1" applyBorder="1" applyAlignment="1" applyProtection="1">
      <alignment horizontal="right"/>
    </xf>
    <xf numFmtId="0" fontId="0" fillId="3" borderId="33" xfId="0" applyNumberFormat="1" applyFill="1" applyBorder="1" applyAlignment="1" applyProtection="1">
      <protection locked="0"/>
    </xf>
    <xf numFmtId="49" fontId="0" fillId="11" borderId="0" xfId="0" applyNumberFormat="1" applyFill="1" applyBorder="1" applyAlignment="1" applyProtection="1">
      <alignment horizontal="right"/>
    </xf>
    <xf numFmtId="0" fontId="5" fillId="10" borderId="0" xfId="0" applyFont="1" applyFill="1" applyBorder="1" applyAlignment="1" applyProtection="1">
      <alignment vertical="center"/>
    </xf>
    <xf numFmtId="0" fontId="10" fillId="0" borderId="22" xfId="0" applyFont="1" applyFill="1" applyBorder="1" applyAlignment="1" applyProtection="1">
      <alignment vertical="center"/>
    </xf>
    <xf numFmtId="0" fontId="8" fillId="0" borderId="56" xfId="0" applyFont="1" applyFill="1" applyBorder="1" applyAlignment="1" applyProtection="1">
      <alignment horizontal="center"/>
    </xf>
    <xf numFmtId="0" fontId="8" fillId="0" borderId="4" xfId="0" applyFont="1" applyFill="1" applyBorder="1" applyAlignment="1" applyProtection="1">
      <alignment horizontal="center"/>
    </xf>
    <xf numFmtId="0" fontId="2" fillId="4" borderId="10" xfId="0" applyFont="1" applyFill="1" applyBorder="1" applyAlignment="1" applyProtection="1">
      <alignment horizontal="center"/>
    </xf>
    <xf numFmtId="0" fontId="13" fillId="4" borderId="11" xfId="0" applyFont="1" applyFill="1" applyBorder="1" applyAlignment="1" applyProtection="1">
      <alignment horizontal="right" vertical="center"/>
    </xf>
    <xf numFmtId="0" fontId="13" fillId="4" borderId="10" xfId="0" applyFont="1" applyFill="1" applyBorder="1" applyAlignment="1" applyProtection="1">
      <alignment horizontal="center" vertical="center"/>
    </xf>
    <xf numFmtId="0" fontId="13" fillId="4" borderId="12" xfId="0" applyFont="1" applyFill="1" applyBorder="1" applyAlignment="1" applyProtection="1">
      <alignment horizontal="right" vertical="center"/>
    </xf>
    <xf numFmtId="0" fontId="11" fillId="0" borderId="22" xfId="0" applyFont="1" applyFill="1" applyBorder="1" applyAlignment="1" applyProtection="1">
      <alignment vertical="center"/>
    </xf>
    <xf numFmtId="0" fontId="5" fillId="0" borderId="22" xfId="0" applyFont="1" applyFill="1" applyBorder="1" applyAlignment="1" applyProtection="1">
      <alignment vertical="center"/>
    </xf>
    <xf numFmtId="0" fontId="13" fillId="0" borderId="22" xfId="0" applyFont="1" applyFill="1" applyBorder="1" applyAlignment="1" applyProtection="1">
      <alignment vertical="center"/>
    </xf>
    <xf numFmtId="0" fontId="4" fillId="0" borderId="22" xfId="0" applyFont="1" applyFill="1" applyBorder="1" applyProtection="1"/>
    <xf numFmtId="0" fontId="8" fillId="0" borderId="57" xfId="0" applyFont="1" applyFill="1" applyBorder="1" applyAlignment="1" applyProtection="1">
      <alignment horizontal="center"/>
    </xf>
    <xf numFmtId="0" fontId="8" fillId="0" borderId="20" xfId="0" applyFont="1" applyFill="1" applyBorder="1" applyAlignment="1" applyProtection="1">
      <alignment horizontal="center"/>
    </xf>
    <xf numFmtId="0" fontId="8" fillId="0" borderId="21" xfId="0" applyFont="1" applyFill="1" applyBorder="1" applyAlignment="1" applyProtection="1">
      <alignment horizontal="center"/>
    </xf>
    <xf numFmtId="0" fontId="0" fillId="3" borderId="17" xfId="0" applyFill="1" applyBorder="1" applyAlignment="1" applyProtection="1">
      <alignment horizontal="center"/>
      <protection locked="0"/>
    </xf>
    <xf numFmtId="0" fontId="12" fillId="3" borderId="17" xfId="0" applyFont="1" applyFill="1" applyBorder="1" applyAlignment="1" applyProtection="1">
      <alignment horizontal="center"/>
      <protection locked="0"/>
    </xf>
    <xf numFmtId="0" fontId="26" fillId="7" borderId="21" xfId="0" applyFont="1" applyFill="1" applyBorder="1" applyAlignment="1" applyProtection="1">
      <alignment horizontal="center"/>
    </xf>
    <xf numFmtId="0" fontId="5" fillId="0" borderId="22" xfId="0" applyFont="1" applyFill="1" applyBorder="1" applyProtection="1"/>
    <xf numFmtId="0" fontId="11" fillId="0" borderId="61" xfId="0" applyFont="1" applyFill="1" applyBorder="1" applyAlignment="1" applyProtection="1">
      <alignment vertical="center"/>
    </xf>
    <xf numFmtId="0" fontId="11" fillId="0" borderId="60" xfId="0" applyFont="1" applyFill="1" applyBorder="1" applyAlignment="1" applyProtection="1">
      <alignment vertical="center"/>
    </xf>
    <xf numFmtId="0" fontId="0" fillId="0" borderId="62" xfId="0" applyFill="1" applyBorder="1" applyAlignment="1" applyProtection="1">
      <alignment horizontal="center"/>
    </xf>
    <xf numFmtId="0" fontId="0" fillId="0" borderId="63" xfId="0" applyFill="1" applyBorder="1" applyAlignment="1" applyProtection="1">
      <alignment horizontal="right"/>
    </xf>
    <xf numFmtId="1" fontId="0" fillId="0" borderId="64" xfId="0" applyNumberFormat="1" applyFill="1" applyBorder="1" applyAlignment="1" applyProtection="1">
      <alignment horizontal="center"/>
    </xf>
    <xf numFmtId="1" fontId="0" fillId="0" borderId="65" xfId="0" applyNumberFormat="1" applyFill="1" applyBorder="1" applyProtection="1"/>
    <xf numFmtId="0" fontId="0" fillId="11" borderId="66" xfId="0" applyFill="1" applyBorder="1" applyProtection="1"/>
    <xf numFmtId="0" fontId="4" fillId="11" borderId="67" xfId="0" applyFont="1" applyFill="1" applyBorder="1" applyProtection="1"/>
    <xf numFmtId="0" fontId="0" fillId="11" borderId="67" xfId="0" applyFill="1" applyBorder="1" applyProtection="1"/>
    <xf numFmtId="0" fontId="0" fillId="0" borderId="68" xfId="0" applyFill="1" applyBorder="1" applyProtection="1"/>
    <xf numFmtId="0" fontId="5" fillId="11" borderId="69" xfId="0" applyFont="1" applyFill="1" applyBorder="1" applyAlignment="1" applyProtection="1">
      <alignment horizontal="center"/>
    </xf>
    <xf numFmtId="37" fontId="5" fillId="10" borderId="70" xfId="0" applyNumberFormat="1" applyFont="1" applyFill="1" applyBorder="1" applyAlignment="1" applyProtection="1">
      <alignment horizontal="right" vertical="center"/>
    </xf>
    <xf numFmtId="37" fontId="5" fillId="0" borderId="70" xfId="0" applyNumberFormat="1" applyFont="1" applyFill="1" applyBorder="1" applyAlignment="1" applyProtection="1">
      <alignment horizontal="right" vertical="center"/>
    </xf>
    <xf numFmtId="4" fontId="5" fillId="0" borderId="70" xfId="0" applyNumberFormat="1" applyFont="1" applyFill="1" applyBorder="1" applyAlignment="1" applyProtection="1">
      <alignment horizontal="right"/>
    </xf>
    <xf numFmtId="3" fontId="5" fillId="0" borderId="70" xfId="0" applyNumberFormat="1" applyFont="1" applyFill="1" applyBorder="1" applyAlignment="1" applyProtection="1">
      <alignment horizontal="right"/>
    </xf>
    <xf numFmtId="0" fontId="5" fillId="11" borderId="71" xfId="0" applyFont="1" applyFill="1" applyBorder="1" applyProtection="1"/>
    <xf numFmtId="0" fontId="4" fillId="11" borderId="72" xfId="0" applyFont="1" applyFill="1" applyBorder="1" applyAlignment="1" applyProtection="1">
      <alignment vertical="center"/>
    </xf>
    <xf numFmtId="0" fontId="5" fillId="11" borderId="72" xfId="0" applyFont="1" applyFill="1" applyBorder="1" applyProtection="1"/>
    <xf numFmtId="0" fontId="5" fillId="11" borderId="72" xfId="0" applyFont="1" applyFill="1" applyBorder="1" applyAlignment="1" applyProtection="1">
      <alignment horizontal="center"/>
    </xf>
    <xf numFmtId="3" fontId="5" fillId="0" borderId="73" xfId="0" applyNumberFormat="1" applyFont="1" applyFill="1" applyBorder="1" applyAlignment="1" applyProtection="1">
      <alignment horizontal="right"/>
    </xf>
    <xf numFmtId="0" fontId="0" fillId="0" borderId="66" xfId="0" applyFill="1" applyBorder="1" applyProtection="1"/>
    <xf numFmtId="0" fontId="0" fillId="0" borderId="67" xfId="0" applyFill="1" applyBorder="1" applyProtection="1"/>
    <xf numFmtId="16" fontId="5" fillId="0" borderId="69" xfId="0" quotePrefix="1" applyNumberFormat="1" applyFont="1" applyFill="1" applyBorder="1" applyAlignment="1" applyProtection="1">
      <alignment horizontal="center"/>
    </xf>
    <xf numFmtId="1" fontId="0" fillId="0" borderId="70" xfId="0" applyNumberFormat="1" applyFill="1" applyBorder="1" applyProtection="1"/>
    <xf numFmtId="0" fontId="0" fillId="0" borderId="70" xfId="0" applyFill="1" applyBorder="1" applyProtection="1"/>
    <xf numFmtId="0" fontId="5" fillId="0" borderId="71" xfId="0" applyFont="1" applyFill="1" applyBorder="1" applyProtection="1"/>
    <xf numFmtId="0" fontId="5" fillId="0" borderId="72" xfId="0" applyFont="1" applyFill="1" applyBorder="1" applyProtection="1"/>
    <xf numFmtId="0" fontId="0" fillId="0" borderId="72" xfId="0" applyFill="1" applyBorder="1" applyProtection="1"/>
    <xf numFmtId="0" fontId="0" fillId="0" borderId="73" xfId="0" applyFill="1" applyBorder="1" applyProtection="1"/>
    <xf numFmtId="3" fontId="0" fillId="3" borderId="28" xfId="0" applyNumberFormat="1" applyFill="1" applyBorder="1" applyProtection="1">
      <protection locked="0"/>
    </xf>
    <xf numFmtId="37" fontId="0" fillId="0" borderId="0" xfId="0" applyNumberFormat="1" applyFill="1" applyProtection="1"/>
    <xf numFmtId="37" fontId="11" fillId="14" borderId="16" xfId="0" applyNumberFormat="1" applyFont="1" applyFill="1" applyBorder="1" applyAlignment="1" applyProtection="1">
      <alignment vertical="center"/>
    </xf>
    <xf numFmtId="37" fontId="11" fillId="14" borderId="16" xfId="0" applyNumberFormat="1" applyFont="1" applyFill="1" applyBorder="1" applyAlignment="1" applyProtection="1">
      <alignment vertical="center"/>
      <protection hidden="1"/>
    </xf>
    <xf numFmtId="1" fontId="0" fillId="0" borderId="17" xfId="0" applyNumberFormat="1" applyFill="1" applyBorder="1" applyAlignment="1" applyProtection="1">
      <alignment horizontal="center"/>
      <protection hidden="1"/>
    </xf>
    <xf numFmtId="37" fontId="11" fillId="0" borderId="16" xfId="0" applyNumberFormat="1" applyFont="1" applyFill="1" applyBorder="1" applyAlignment="1" applyProtection="1">
      <alignment vertical="center"/>
      <protection hidden="1"/>
    </xf>
    <xf numFmtId="1" fontId="0" fillId="0" borderId="15" xfId="0" applyNumberFormat="1" applyFill="1" applyBorder="1" applyAlignment="1" applyProtection="1">
      <alignment horizontal="right" indent="2"/>
      <protection hidden="1"/>
    </xf>
    <xf numFmtId="3" fontId="11" fillId="0" borderId="16" xfId="0" applyNumberFormat="1" applyFont="1" applyFill="1" applyBorder="1" applyAlignment="1" applyProtection="1">
      <alignment horizontal="right" vertical="center"/>
      <protection hidden="1"/>
    </xf>
    <xf numFmtId="1" fontId="0" fillId="0" borderId="26" xfId="0" applyNumberFormat="1" applyFill="1" applyBorder="1" applyAlignment="1" applyProtection="1">
      <alignment horizontal="center"/>
      <protection hidden="1"/>
    </xf>
    <xf numFmtId="37" fontId="11" fillId="0" borderId="59" xfId="0" applyNumberFormat="1" applyFont="1" applyFill="1" applyBorder="1" applyAlignment="1" applyProtection="1">
      <alignment vertical="center"/>
      <protection hidden="1"/>
    </xf>
    <xf numFmtId="1" fontId="0" fillId="0" borderId="58" xfId="0" applyNumberFormat="1" applyFill="1" applyBorder="1" applyAlignment="1" applyProtection="1">
      <alignment horizontal="right" indent="2"/>
      <protection hidden="1"/>
    </xf>
    <xf numFmtId="3" fontId="11" fillId="0" borderId="59" xfId="0" applyNumberFormat="1" applyFont="1" applyFill="1" applyBorder="1" applyAlignment="1" applyProtection="1">
      <alignment horizontal="right" vertical="center"/>
      <protection hidden="1"/>
    </xf>
    <xf numFmtId="0" fontId="5" fillId="15" borderId="74" xfId="0" applyFont="1" applyFill="1" applyBorder="1" applyAlignment="1">
      <alignment horizontal="center" vertical="center"/>
    </xf>
    <xf numFmtId="0" fontId="5" fillId="15" borderId="75" xfId="0" applyFont="1" applyFill="1" applyBorder="1" applyAlignment="1">
      <alignment horizontal="center" vertical="center"/>
    </xf>
    <xf numFmtId="0" fontId="5" fillId="15" borderId="76" xfId="0" applyFont="1" applyFill="1" applyBorder="1" applyAlignment="1">
      <alignment horizontal="center" vertical="center" wrapText="1"/>
    </xf>
    <xf numFmtId="0" fontId="5" fillId="0" borderId="1" xfId="0" applyFont="1" applyBorder="1" applyAlignment="1">
      <alignment vertical="top"/>
    </xf>
    <xf numFmtId="0" fontId="5" fillId="0" borderId="1" xfId="0" applyFont="1" applyBorder="1" applyAlignment="1">
      <alignment vertical="top" wrapText="1"/>
    </xf>
    <xf numFmtId="0" fontId="0" fillId="0" borderId="1" xfId="0" applyBorder="1" applyAlignment="1">
      <alignment vertical="center"/>
    </xf>
    <xf numFmtId="0" fontId="0" fillId="0" borderId="1" xfId="0" applyBorder="1" applyAlignment="1">
      <alignment vertical="top" wrapText="1"/>
    </xf>
    <xf numFmtId="0" fontId="5" fillId="0" borderId="1" xfId="0" applyFont="1" applyBorder="1" applyAlignment="1">
      <alignment vertical="center"/>
    </xf>
    <xf numFmtId="0" fontId="5" fillId="0" borderId="1" xfId="0" applyFont="1" applyFill="1" applyBorder="1" applyAlignment="1">
      <alignment vertical="top"/>
    </xf>
    <xf numFmtId="0" fontId="5" fillId="0" borderId="1" xfId="0" applyFont="1" applyFill="1" applyBorder="1" applyAlignment="1">
      <alignment vertical="center"/>
    </xf>
    <xf numFmtId="0" fontId="5" fillId="16" borderId="1" xfId="0" applyFont="1" applyFill="1" applyBorder="1" applyAlignment="1">
      <alignment vertical="center"/>
    </xf>
    <xf numFmtId="0" fontId="5" fillId="17" borderId="1" xfId="0" applyFont="1" applyFill="1" applyBorder="1" applyAlignment="1">
      <alignment vertical="center"/>
    </xf>
    <xf numFmtId="0" fontId="5" fillId="18" borderId="1" xfId="0" applyFont="1" applyFill="1" applyBorder="1" applyAlignment="1">
      <alignment vertical="center"/>
    </xf>
    <xf numFmtId="0" fontId="0" fillId="19" borderId="1" xfId="0" applyFill="1" applyBorder="1" applyAlignment="1">
      <alignment vertical="center"/>
    </xf>
    <xf numFmtId="0" fontId="0" fillId="14" borderId="1" xfId="0" applyFill="1" applyBorder="1" applyAlignment="1">
      <alignment vertical="center"/>
    </xf>
    <xf numFmtId="0" fontId="0" fillId="20" borderId="1" xfId="0" applyFill="1" applyBorder="1" applyAlignment="1">
      <alignment vertical="center"/>
    </xf>
    <xf numFmtId="0" fontId="0" fillId="21" borderId="1" xfId="0" applyFill="1" applyBorder="1" applyAlignment="1">
      <alignment vertical="center"/>
    </xf>
    <xf numFmtId="0" fontId="0" fillId="22" borderId="1" xfId="0" applyFill="1" applyBorder="1" applyAlignment="1">
      <alignment vertical="center"/>
    </xf>
    <xf numFmtId="0" fontId="0" fillId="23" borderId="1" xfId="0" applyFill="1" applyBorder="1" applyAlignment="1">
      <alignment vertical="center"/>
    </xf>
    <xf numFmtId="0" fontId="0" fillId="17" borderId="1" xfId="0" applyFill="1" applyBorder="1" applyAlignment="1">
      <alignment vertical="center"/>
    </xf>
    <xf numFmtId="0" fontId="0" fillId="24" borderId="1" xfId="0" applyFill="1" applyBorder="1" applyAlignment="1">
      <alignment vertical="center"/>
    </xf>
    <xf numFmtId="0" fontId="0" fillId="25" borderId="1" xfId="0" applyFill="1" applyBorder="1" applyAlignment="1">
      <alignment vertical="center"/>
    </xf>
    <xf numFmtId="0" fontId="0" fillId="26" borderId="1" xfId="0" applyFill="1" applyBorder="1" applyAlignment="1">
      <alignment vertical="center"/>
    </xf>
    <xf numFmtId="0" fontId="5" fillId="11" borderId="1" xfId="0" applyFont="1" applyFill="1" applyBorder="1" applyAlignment="1">
      <alignment vertical="center"/>
    </xf>
    <xf numFmtId="0" fontId="0" fillId="11" borderId="1" xfId="0" applyFill="1" applyBorder="1" applyAlignment="1">
      <alignment vertical="center"/>
    </xf>
    <xf numFmtId="0" fontId="5" fillId="0" borderId="77" xfId="0" applyFont="1" applyFill="1" applyBorder="1" applyAlignment="1">
      <alignment vertical="top"/>
    </xf>
    <xf numFmtId="0" fontId="0" fillId="0" borderId="77" xfId="0" applyFill="1" applyBorder="1" applyAlignment="1">
      <alignment vertical="center"/>
    </xf>
    <xf numFmtId="0" fontId="0" fillId="0" borderId="0" xfId="0" applyFill="1" applyBorder="1" applyProtection="1">
      <protection hidden="1"/>
    </xf>
    <xf numFmtId="37" fontId="11" fillId="27" borderId="16" xfId="0" applyNumberFormat="1" applyFont="1" applyFill="1" applyBorder="1" applyAlignment="1" applyProtection="1">
      <alignment vertical="center"/>
      <protection locked="0"/>
    </xf>
    <xf numFmtId="0" fontId="2" fillId="0" borderId="15" xfId="0" applyFont="1" applyFill="1" applyBorder="1" applyAlignment="1" applyProtection="1">
      <alignment horizontal="center"/>
      <protection locked="0"/>
    </xf>
    <xf numFmtId="0" fontId="0" fillId="0" borderId="16" xfId="0" applyFill="1" applyBorder="1" applyAlignment="1" applyProtection="1">
      <alignment horizontal="right"/>
      <protection locked="0"/>
    </xf>
    <xf numFmtId="0" fontId="0" fillId="0" borderId="15" xfId="0" applyFill="1" applyBorder="1" applyAlignment="1" applyProtection="1">
      <alignment horizontal="center"/>
      <protection locked="0"/>
    </xf>
    <xf numFmtId="0" fontId="0" fillId="0" borderId="22" xfId="0" applyFill="1" applyBorder="1" applyAlignment="1" applyProtection="1">
      <alignment horizontal="right"/>
      <protection locked="0"/>
    </xf>
    <xf numFmtId="0" fontId="13" fillId="0" borderId="16" xfId="0" applyFont="1" applyFill="1" applyBorder="1" applyAlignment="1" applyProtection="1">
      <alignment horizontal="right" vertical="center"/>
      <protection locked="0"/>
    </xf>
    <xf numFmtId="0" fontId="13" fillId="0" borderId="15" xfId="0" applyFont="1" applyFill="1" applyBorder="1" applyAlignment="1" applyProtection="1">
      <alignment horizontal="center" vertical="center"/>
      <protection locked="0"/>
    </xf>
    <xf numFmtId="0" fontId="13" fillId="0" borderId="22" xfId="0" applyFont="1" applyFill="1" applyBorder="1" applyAlignment="1" applyProtection="1">
      <alignment horizontal="right" vertical="center"/>
      <protection locked="0"/>
    </xf>
    <xf numFmtId="0" fontId="13" fillId="0" borderId="15" xfId="0" applyFont="1" applyFill="1" applyBorder="1" applyAlignment="1" applyProtection="1">
      <alignment horizontal="center"/>
      <protection locked="0"/>
    </xf>
    <xf numFmtId="0" fontId="13" fillId="2" borderId="15" xfId="0" applyFont="1" applyFill="1" applyBorder="1" applyAlignment="1" applyProtection="1">
      <alignment horizontal="center"/>
      <protection locked="0"/>
    </xf>
    <xf numFmtId="0" fontId="13" fillId="2" borderId="16" xfId="0" applyFont="1" applyFill="1" applyBorder="1" applyAlignment="1" applyProtection="1">
      <alignment horizontal="right" vertical="center"/>
      <protection locked="0"/>
    </xf>
    <xf numFmtId="0" fontId="13" fillId="2" borderId="15" xfId="0" applyFont="1" applyFill="1" applyBorder="1" applyAlignment="1" applyProtection="1">
      <alignment horizontal="center" vertical="center"/>
      <protection locked="0"/>
    </xf>
    <xf numFmtId="3" fontId="11" fillId="0" borderId="16" xfId="0" applyNumberFormat="1" applyFont="1" applyFill="1" applyBorder="1" applyAlignment="1" applyProtection="1">
      <alignment vertical="center"/>
      <protection hidden="1"/>
    </xf>
    <xf numFmtId="1" fontId="0" fillId="0" borderId="15" xfId="0" applyNumberFormat="1" applyFill="1" applyBorder="1" applyAlignment="1" applyProtection="1">
      <alignment horizontal="center"/>
      <protection hidden="1"/>
    </xf>
    <xf numFmtId="0" fontId="2" fillId="0" borderId="15" xfId="0" applyFont="1" applyFill="1" applyBorder="1" applyAlignment="1" applyProtection="1">
      <alignment horizontal="center"/>
      <protection hidden="1"/>
    </xf>
    <xf numFmtId="1" fontId="0" fillId="0" borderId="78" xfId="0" applyNumberFormat="1" applyFill="1" applyBorder="1" applyAlignment="1" applyProtection="1">
      <alignment horizontal="center"/>
      <protection hidden="1"/>
    </xf>
    <xf numFmtId="3" fontId="11" fillId="0" borderId="59" xfId="0" applyNumberFormat="1" applyFont="1" applyFill="1" applyBorder="1" applyAlignment="1" applyProtection="1">
      <alignment vertical="center"/>
      <protection hidden="1"/>
    </xf>
    <xf numFmtId="3" fontId="5" fillId="8" borderId="3" xfId="0" applyNumberFormat="1" applyFont="1" applyFill="1" applyBorder="1" applyProtection="1">
      <protection hidden="1"/>
    </xf>
    <xf numFmtId="3" fontId="5" fillId="11" borderId="0" xfId="0" applyNumberFormat="1" applyFont="1" applyFill="1" applyProtection="1">
      <protection hidden="1"/>
    </xf>
    <xf numFmtId="0" fontId="0" fillId="0" borderId="0" xfId="0" applyFill="1" applyAlignment="1" applyProtection="1">
      <alignment horizontal="center"/>
      <protection hidden="1"/>
    </xf>
    <xf numFmtId="0" fontId="5" fillId="0" borderId="17" xfId="0" applyFont="1" applyFill="1" applyBorder="1" applyAlignment="1" applyProtection="1">
      <alignment horizontal="center" vertical="center"/>
      <protection hidden="1"/>
    </xf>
    <xf numFmtId="37" fontId="11" fillId="0" borderId="22" xfId="0" applyNumberFormat="1" applyFont="1" applyFill="1" applyBorder="1" applyAlignment="1" applyProtection="1">
      <alignment vertical="center"/>
      <protection hidden="1"/>
    </xf>
    <xf numFmtId="37" fontId="11" fillId="0" borderId="16" xfId="0" applyNumberFormat="1" applyFont="1" applyFill="1" applyBorder="1" applyAlignment="1" applyProtection="1">
      <alignment horizontal="center" vertical="center"/>
      <protection hidden="1"/>
    </xf>
    <xf numFmtId="0" fontId="0" fillId="0" borderId="16" xfId="0" applyFill="1" applyBorder="1" applyProtection="1">
      <protection hidden="1"/>
    </xf>
    <xf numFmtId="0" fontId="5" fillId="0" borderId="26" xfId="0" applyFont="1" applyFill="1" applyBorder="1" applyAlignment="1" applyProtection="1">
      <alignment horizontal="center" vertical="center"/>
      <protection hidden="1"/>
    </xf>
    <xf numFmtId="37" fontId="11" fillId="0" borderId="17" xfId="0" applyNumberFormat="1" applyFont="1" applyFill="1" applyBorder="1" applyAlignment="1" applyProtection="1">
      <alignment horizontal="center" vertical="center"/>
      <protection hidden="1"/>
    </xf>
    <xf numFmtId="37" fontId="11" fillId="2" borderId="17" xfId="0" applyNumberFormat="1" applyFont="1" applyFill="1" applyBorder="1" applyAlignment="1" applyProtection="1">
      <alignment horizontal="center" vertical="center"/>
      <protection hidden="1"/>
    </xf>
    <xf numFmtId="37" fontId="13" fillId="0" borderId="16" xfId="0" applyNumberFormat="1" applyFont="1" applyFill="1" applyBorder="1" applyAlignment="1" applyProtection="1">
      <alignment vertical="center"/>
      <protection hidden="1"/>
    </xf>
    <xf numFmtId="37" fontId="11" fillId="0" borderId="25" xfId="0" applyNumberFormat="1" applyFont="1" applyFill="1" applyBorder="1" applyAlignment="1" applyProtection="1">
      <alignment vertical="center"/>
      <protection hidden="1"/>
    </xf>
    <xf numFmtId="37" fontId="11" fillId="0" borderId="60" xfId="0" applyNumberFormat="1" applyFont="1" applyFill="1" applyBorder="1" applyAlignment="1" applyProtection="1">
      <alignment vertical="center"/>
      <protection hidden="1"/>
    </xf>
    <xf numFmtId="37" fontId="11" fillId="0" borderId="79" xfId="0" applyNumberFormat="1" applyFont="1" applyFill="1" applyBorder="1" applyAlignment="1" applyProtection="1">
      <alignment vertical="center"/>
      <protection hidden="1"/>
    </xf>
    <xf numFmtId="0" fontId="0" fillId="0" borderId="79" xfId="0" applyFill="1" applyBorder="1" applyAlignment="1" applyProtection="1">
      <alignment horizontal="center"/>
      <protection hidden="1"/>
    </xf>
    <xf numFmtId="0" fontId="0" fillId="0" borderId="79" xfId="0" applyFill="1" applyBorder="1" applyProtection="1">
      <protection hidden="1"/>
    </xf>
    <xf numFmtId="37" fontId="13" fillId="0" borderId="79" xfId="0" applyNumberFormat="1" applyFont="1" applyFill="1" applyBorder="1" applyAlignment="1" applyProtection="1">
      <alignment vertical="center"/>
      <protection hidden="1"/>
    </xf>
    <xf numFmtId="37" fontId="13" fillId="0" borderId="80" xfId="0" applyNumberFormat="1" applyFont="1" applyFill="1" applyBorder="1" applyAlignment="1" applyProtection="1">
      <alignment vertical="center"/>
      <protection hidden="1"/>
    </xf>
    <xf numFmtId="0" fontId="0" fillId="0" borderId="0" xfId="0" applyFill="1" applyProtection="1">
      <protection hidden="1"/>
    </xf>
    <xf numFmtId="1" fontId="0" fillId="0" borderId="0" xfId="0" applyNumberFormat="1" applyFill="1" applyBorder="1" applyProtection="1">
      <protection hidden="1"/>
    </xf>
    <xf numFmtId="0" fontId="4" fillId="0" borderId="3" xfId="0" applyFont="1" applyFill="1" applyBorder="1" applyAlignment="1" applyProtection="1">
      <alignment horizontal="center" vertical="center"/>
      <protection hidden="1"/>
    </xf>
    <xf numFmtId="37" fontId="13" fillId="0" borderId="81" xfId="0" applyNumberFormat="1" applyFont="1" applyFill="1" applyBorder="1" applyAlignment="1" applyProtection="1">
      <alignment vertical="center"/>
      <protection hidden="1"/>
    </xf>
    <xf numFmtId="3" fontId="0" fillId="3" borderId="1" xfId="0" applyNumberFormat="1" applyFill="1" applyBorder="1" applyProtection="1">
      <protection locked="0"/>
    </xf>
    <xf numFmtId="3" fontId="0" fillId="0" borderId="0" xfId="0" applyNumberFormat="1" applyFill="1" applyBorder="1" applyProtection="1">
      <protection locked="0"/>
    </xf>
    <xf numFmtId="3" fontId="0" fillId="0" borderId="0" xfId="0" applyNumberFormat="1" applyProtection="1">
      <protection locked="0"/>
    </xf>
    <xf numFmtId="0" fontId="0" fillId="0" borderId="1" xfId="0" applyBorder="1" applyProtection="1">
      <protection locked="0"/>
    </xf>
    <xf numFmtId="3" fontId="0" fillId="0" borderId="1" xfId="0" applyNumberFormat="1" applyBorder="1" applyProtection="1">
      <protection locked="0"/>
    </xf>
    <xf numFmtId="0" fontId="0" fillId="0" borderId="1" xfId="0" applyBorder="1" applyAlignment="1" applyProtection="1">
      <alignment wrapText="1"/>
      <protection locked="0"/>
    </xf>
    <xf numFmtId="0" fontId="5" fillId="0" borderId="1" xfId="0" applyFont="1" applyBorder="1" applyProtection="1">
      <protection locked="0"/>
    </xf>
    <xf numFmtId="0" fontId="5" fillId="0" borderId="1" xfId="0" applyFont="1" applyBorder="1" applyAlignment="1" applyProtection="1">
      <alignment wrapText="1"/>
      <protection locked="0"/>
    </xf>
    <xf numFmtId="3" fontId="5" fillId="0" borderId="1" xfId="0" applyNumberFormat="1" applyFont="1" applyBorder="1" applyProtection="1">
      <protection locked="0"/>
    </xf>
    <xf numFmtId="3" fontId="5" fillId="0" borderId="47" xfId="0" applyNumberFormat="1" applyFont="1" applyBorder="1" applyProtection="1">
      <protection locked="0"/>
    </xf>
    <xf numFmtId="3" fontId="5" fillId="0" borderId="18" xfId="0" applyNumberFormat="1" applyFont="1" applyBorder="1" applyProtection="1">
      <protection locked="0"/>
    </xf>
    <xf numFmtId="10" fontId="0" fillId="0" borderId="1" xfId="0" applyNumberFormat="1" applyBorder="1" applyProtection="1">
      <protection locked="0"/>
    </xf>
    <xf numFmtId="0" fontId="4" fillId="0" borderId="0" xfId="0" applyFont="1" applyProtection="1">
      <protection locked="0"/>
    </xf>
    <xf numFmtId="3" fontId="4" fillId="0" borderId="0" xfId="0" applyNumberFormat="1" applyFont="1" applyProtection="1">
      <protection locked="0"/>
    </xf>
    <xf numFmtId="37" fontId="11" fillId="11" borderId="16" xfId="0" applyNumberFormat="1" applyFont="1" applyFill="1" applyBorder="1" applyAlignment="1" applyProtection="1">
      <alignment vertical="center"/>
      <protection hidden="1"/>
    </xf>
    <xf numFmtId="3" fontId="0" fillId="0" borderId="1" xfId="0" applyNumberFormat="1" applyFill="1" applyBorder="1" applyProtection="1"/>
    <xf numFmtId="3" fontId="0" fillId="0" borderId="1" xfId="0" applyNumberFormat="1" applyFill="1" applyBorder="1" applyAlignment="1" applyProtection="1">
      <alignment horizontal="right"/>
    </xf>
    <xf numFmtId="0" fontId="0" fillId="0" borderId="0" xfId="0" applyFill="1" applyBorder="1" applyAlignment="1" applyProtection="1">
      <alignment horizontal="center" wrapText="1"/>
    </xf>
    <xf numFmtId="0" fontId="2" fillId="0" borderId="26" xfId="0" applyFont="1" applyFill="1" applyBorder="1" applyAlignment="1" applyProtection="1">
      <alignment horizontal="center"/>
    </xf>
    <xf numFmtId="0" fontId="0" fillId="0" borderId="39" xfId="0" applyFill="1" applyBorder="1" applyAlignment="1" applyProtection="1">
      <alignment horizontal="center" wrapText="1"/>
    </xf>
    <xf numFmtId="0" fontId="11" fillId="3" borderId="16" xfId="0" applyFont="1" applyFill="1" applyBorder="1" applyAlignment="1" applyProtection="1">
      <alignment horizontal="right" vertical="center"/>
      <protection locked="0"/>
    </xf>
    <xf numFmtId="0" fontId="0" fillId="6" borderId="1" xfId="0" applyFill="1" applyBorder="1" applyProtection="1">
      <protection locked="0"/>
    </xf>
    <xf numFmtId="14" fontId="0" fillId="0" borderId="0" xfId="0" applyNumberFormat="1" applyAlignment="1" applyProtection="1">
      <alignment horizontal="center"/>
    </xf>
    <xf numFmtId="0" fontId="4" fillId="0" borderId="0" xfId="0" applyFont="1" applyAlignment="1" applyProtection="1">
      <alignment horizontal="center"/>
    </xf>
    <xf numFmtId="0" fontId="0" fillId="3" borderId="1" xfId="0" applyFill="1" applyBorder="1" applyProtection="1"/>
    <xf numFmtId="0" fontId="5" fillId="3" borderId="1" xfId="0" applyFont="1" applyFill="1" applyBorder="1" applyProtection="1"/>
    <xf numFmtId="0" fontId="4" fillId="28" borderId="0" xfId="0" applyFont="1" applyFill="1" applyProtection="1"/>
    <xf numFmtId="0" fontId="32" fillId="0" borderId="28" xfId="0" applyFont="1" applyBorder="1" applyAlignment="1">
      <alignment horizontal="center"/>
    </xf>
    <xf numFmtId="44" fontId="24" fillId="0" borderId="28" xfId="2" applyFont="1" applyBorder="1" applyAlignment="1">
      <alignment horizontal="center"/>
    </xf>
    <xf numFmtId="0" fontId="22" fillId="0" borderId="22" xfId="0" applyFont="1" applyFill="1" applyBorder="1" applyAlignment="1">
      <alignment horizontal="center"/>
    </xf>
    <xf numFmtId="0" fontId="22" fillId="0" borderId="23" xfId="0" applyFont="1" applyBorder="1" applyAlignment="1">
      <alignment wrapText="1"/>
    </xf>
    <xf numFmtId="0" fontId="22" fillId="0" borderId="18" xfId="0" applyFont="1" applyBorder="1" applyAlignment="1">
      <alignment wrapText="1"/>
    </xf>
    <xf numFmtId="0" fontId="22" fillId="0" borderId="1" xfId="0" applyFont="1" applyBorder="1" applyAlignment="1">
      <alignment horizontal="left"/>
    </xf>
    <xf numFmtId="0" fontId="22" fillId="0" borderId="18" xfId="0" applyFont="1" applyFill="1" applyBorder="1" applyAlignment="1">
      <alignment horizontal="center"/>
    </xf>
    <xf numFmtId="0" fontId="0" fillId="0" borderId="0" xfId="0" applyFill="1" applyBorder="1" applyAlignment="1" applyProtection="1"/>
    <xf numFmtId="0" fontId="4" fillId="0" borderId="0" xfId="0" applyFont="1" applyFill="1" applyBorder="1" applyAlignment="1" applyProtection="1"/>
    <xf numFmtId="1" fontId="0" fillId="12" borderId="15" xfId="0" applyNumberFormat="1" applyFill="1" applyBorder="1" applyAlignment="1" applyProtection="1">
      <alignment horizontal="center"/>
      <protection hidden="1"/>
    </xf>
    <xf numFmtId="3" fontId="11" fillId="12" borderId="16" xfId="0" applyNumberFormat="1" applyFont="1" applyFill="1" applyBorder="1" applyAlignment="1" applyProtection="1">
      <alignment vertical="center"/>
      <protection hidden="1"/>
    </xf>
    <xf numFmtId="37" fontId="11" fillId="12" borderId="16" xfId="0" applyNumberFormat="1" applyFont="1" applyFill="1" applyBorder="1" applyAlignment="1" applyProtection="1">
      <alignment vertical="center"/>
      <protection hidden="1"/>
    </xf>
    <xf numFmtId="0" fontId="0" fillId="12" borderId="0" xfId="0" applyFill="1" applyBorder="1" applyProtection="1"/>
    <xf numFmtId="1" fontId="0" fillId="12" borderId="15" xfId="0" applyNumberFormat="1" applyFill="1" applyBorder="1" applyAlignment="1" applyProtection="1">
      <alignment horizontal="center"/>
    </xf>
    <xf numFmtId="3" fontId="11" fillId="12" borderId="16" xfId="0" applyNumberFormat="1" applyFont="1" applyFill="1" applyBorder="1" applyAlignment="1" applyProtection="1">
      <alignment horizontal="right" vertical="center"/>
    </xf>
    <xf numFmtId="0" fontId="4" fillId="0" borderId="0" xfId="0" applyFont="1" applyFill="1" applyBorder="1"/>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4" fillId="0" borderId="0" xfId="0" applyFont="1" applyFill="1" applyBorder="1" applyAlignment="1">
      <alignment horizontal="centerContinuous"/>
    </xf>
    <xf numFmtId="0" fontId="34" fillId="0" borderId="0" xfId="0" applyFont="1" applyFill="1" applyBorder="1" applyAlignment="1">
      <alignment horizontal="left"/>
    </xf>
    <xf numFmtId="0" fontId="34" fillId="0" borderId="0" xfId="0" applyFont="1" applyFill="1" applyBorder="1" applyAlignment="1">
      <alignment horizontal="center"/>
    </xf>
    <xf numFmtId="0" fontId="8" fillId="0" borderId="0" xfId="0" applyFont="1" applyFill="1" applyBorder="1" applyAlignment="1">
      <alignment horizontal="left"/>
    </xf>
    <xf numFmtId="0" fontId="5" fillId="0" borderId="0" xfId="0" applyFont="1" applyFill="1" applyBorder="1" applyAlignment="1">
      <alignment vertical="center"/>
    </xf>
    <xf numFmtId="0" fontId="35" fillId="0" borderId="0" xfId="0" applyFont="1" applyFill="1" applyBorder="1"/>
    <xf numFmtId="0" fontId="36" fillId="0" borderId="0" xfId="0" applyFont="1" applyFill="1" applyBorder="1" applyAlignment="1" applyProtection="1">
      <alignment vertical="center"/>
    </xf>
    <xf numFmtId="37" fontId="36" fillId="0" borderId="0" xfId="0" applyNumberFormat="1" applyFont="1" applyFill="1" applyBorder="1" applyAlignment="1" applyProtection="1">
      <alignment vertical="center"/>
    </xf>
    <xf numFmtId="0" fontId="5" fillId="0" borderId="0" xfId="0" applyFont="1" applyFill="1" applyBorder="1" applyAlignment="1">
      <alignment horizontal="right" vertical="center"/>
    </xf>
    <xf numFmtId="0" fontId="37" fillId="0" borderId="0" xfId="0" applyFont="1" applyFill="1" applyBorder="1"/>
    <xf numFmtId="0" fontId="0" fillId="0" borderId="0" xfId="0" applyBorder="1"/>
    <xf numFmtId="0" fontId="12" fillId="0" borderId="0" xfId="0" applyFont="1" applyFill="1" applyBorder="1"/>
    <xf numFmtId="0" fontId="0" fillId="0" borderId="0" xfId="0" applyFont="1" applyFill="1" applyBorder="1"/>
    <xf numFmtId="0" fontId="8" fillId="0" borderId="0" xfId="0" applyFont="1" applyFill="1" applyBorder="1" applyAlignment="1" applyProtection="1">
      <alignment vertical="center"/>
    </xf>
    <xf numFmtId="0" fontId="36" fillId="0" borderId="0" xfId="0" applyFont="1" applyFill="1" applyBorder="1" applyAlignment="1" applyProtection="1">
      <alignment horizontal="center" vertical="center"/>
    </xf>
    <xf numFmtId="37" fontId="36" fillId="0" borderId="0" xfId="0" applyNumberFormat="1" applyFont="1" applyFill="1" applyBorder="1" applyAlignment="1" applyProtection="1">
      <alignment horizontal="center" vertical="center"/>
    </xf>
    <xf numFmtId="0" fontId="38" fillId="0" borderId="0" xfId="0" applyFont="1" applyFill="1" applyBorder="1"/>
    <xf numFmtId="1" fontId="0" fillId="0" borderId="0" xfId="0" applyNumberFormat="1" applyFill="1" applyBorder="1"/>
    <xf numFmtId="0" fontId="5" fillId="0" borderId="83" xfId="0" applyFont="1" applyFill="1" applyBorder="1" applyAlignment="1">
      <alignment vertical="center"/>
    </xf>
    <xf numFmtId="0" fontId="5" fillId="0" borderId="0" xfId="0" applyFont="1" applyFill="1"/>
    <xf numFmtId="0" fontId="5" fillId="0" borderId="77" xfId="0" applyFont="1" applyFill="1" applyBorder="1" applyAlignment="1">
      <alignment vertical="top" wrapText="1"/>
    </xf>
    <xf numFmtId="0" fontId="5" fillId="0" borderId="77" xfId="0" applyFont="1" applyFill="1" applyBorder="1" applyAlignment="1">
      <alignment vertical="center"/>
    </xf>
    <xf numFmtId="0" fontId="43" fillId="29" borderId="1" xfId="0" applyFont="1" applyFill="1" applyBorder="1" applyAlignment="1" applyProtection="1">
      <alignment horizontal="center"/>
      <protection locked="0"/>
    </xf>
    <xf numFmtId="0" fontId="43" fillId="29" borderId="1" xfId="0" applyFont="1" applyFill="1" applyBorder="1" applyAlignment="1" applyProtection="1">
      <protection locked="0"/>
    </xf>
    <xf numFmtId="0" fontId="43" fillId="29" borderId="94" xfId="0" applyFont="1" applyFill="1" applyBorder="1" applyAlignment="1" applyProtection="1">
      <alignment horizontal="center"/>
      <protection locked="0"/>
    </xf>
    <xf numFmtId="0" fontId="43" fillId="29" borderId="94" xfId="0" applyFont="1" applyFill="1" applyBorder="1" applyAlignment="1" applyProtection="1">
      <protection locked="0"/>
    </xf>
    <xf numFmtId="0" fontId="43" fillId="29" borderId="106" xfId="0" applyFont="1" applyFill="1" applyBorder="1" applyAlignment="1" applyProtection="1">
      <alignment horizontal="center"/>
      <protection locked="0"/>
    </xf>
    <xf numFmtId="0" fontId="43" fillId="29" borderId="97" xfId="0" applyFont="1" applyFill="1" applyBorder="1" applyAlignment="1" applyProtection="1">
      <protection locked="0"/>
    </xf>
    <xf numFmtId="0" fontId="43" fillId="29" borderId="97" xfId="0" applyFont="1" applyFill="1" applyBorder="1" applyAlignment="1" applyProtection="1">
      <alignment horizontal="center"/>
      <protection locked="0"/>
    </xf>
    <xf numFmtId="0" fontId="43" fillId="29" borderId="95" xfId="0" applyFont="1" applyFill="1" applyBorder="1" applyAlignment="1" applyProtection="1">
      <alignment horizontal="center"/>
      <protection locked="0"/>
    </xf>
    <xf numFmtId="0" fontId="43" fillId="29" borderId="95" xfId="0" applyFont="1" applyFill="1" applyBorder="1" applyAlignment="1" applyProtection="1">
      <protection locked="0"/>
    </xf>
    <xf numFmtId="0" fontId="43" fillId="29" borderId="101" xfId="0" applyFont="1" applyFill="1" applyBorder="1" applyAlignment="1" applyProtection="1">
      <alignment horizontal="center"/>
      <protection locked="0"/>
    </xf>
    <xf numFmtId="0" fontId="43" fillId="29" borderId="101" xfId="0" applyFont="1" applyFill="1" applyBorder="1" applyAlignment="1" applyProtection="1">
      <protection locked="0"/>
    </xf>
    <xf numFmtId="0" fontId="5" fillId="0" borderId="0" xfId="0" applyFont="1" applyFill="1" applyAlignment="1">
      <alignment horizont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wrapText="1"/>
    </xf>
    <xf numFmtId="0" fontId="46" fillId="0" borderId="0" xfId="0" applyFont="1" applyFill="1"/>
    <xf numFmtId="0" fontId="46" fillId="0" borderId="77" xfId="0" applyFont="1" applyFill="1" applyBorder="1" applyAlignment="1">
      <alignment vertical="top"/>
    </xf>
    <xf numFmtId="0" fontId="46" fillId="0" borderId="77" xfId="0" applyFont="1" applyFill="1" applyBorder="1" applyAlignment="1">
      <alignment vertical="top" wrapText="1"/>
    </xf>
    <xf numFmtId="0" fontId="46" fillId="0" borderId="77" xfId="0" applyFont="1" applyFill="1" applyBorder="1" applyAlignment="1">
      <alignment vertical="center"/>
    </xf>
    <xf numFmtId="0" fontId="46" fillId="0" borderId="83" xfId="0" applyFont="1" applyFill="1" applyBorder="1" applyAlignment="1">
      <alignment vertical="center"/>
    </xf>
    <xf numFmtId="0" fontId="46" fillId="0" borderId="0" xfId="0" applyFont="1" applyFill="1" applyBorder="1" applyAlignment="1">
      <alignment vertical="top"/>
    </xf>
    <xf numFmtId="0" fontId="46" fillId="0" borderId="1" xfId="0" applyFont="1" applyFill="1" applyBorder="1" applyProtection="1"/>
    <xf numFmtId="0" fontId="46" fillId="0" borderId="22" xfId="0" applyFont="1" applyFill="1" applyBorder="1" applyAlignment="1" applyProtection="1">
      <alignment vertical="center" wrapText="1"/>
    </xf>
    <xf numFmtId="0" fontId="46" fillId="0" borderId="79" xfId="0" applyFont="1" applyFill="1" applyBorder="1" applyAlignment="1" applyProtection="1">
      <alignment horizontal="center"/>
      <protection hidden="1"/>
    </xf>
    <xf numFmtId="0" fontId="46" fillId="0" borderId="17" xfId="0" applyFont="1" applyFill="1" applyBorder="1" applyAlignment="1" applyProtection="1">
      <alignment horizontal="center" vertical="center" wrapText="1"/>
      <protection hidden="1"/>
    </xf>
    <xf numFmtId="37" fontId="53" fillId="0" borderId="22" xfId="0" applyNumberFormat="1" applyFont="1" applyFill="1" applyBorder="1" applyAlignment="1" applyProtection="1">
      <alignment horizontal="center" vertical="center"/>
      <protection hidden="1"/>
    </xf>
    <xf numFmtId="37" fontId="11" fillId="0" borderId="4" xfId="0" applyNumberFormat="1" applyFont="1" applyFill="1" applyBorder="1" applyAlignment="1" applyProtection="1">
      <alignment horizontal="right" vertical="center"/>
    </xf>
    <xf numFmtId="37" fontId="8" fillId="0" borderId="4" xfId="0" applyNumberFormat="1" applyFont="1" applyFill="1" applyBorder="1" applyAlignment="1" applyProtection="1">
      <alignment horizontal="center" vertical="center"/>
    </xf>
    <xf numFmtId="0" fontId="54" fillId="0" borderId="1" xfId="0" applyFont="1" applyFill="1" applyBorder="1" applyAlignment="1" applyProtection="1">
      <alignment horizontal="left"/>
    </xf>
    <xf numFmtId="0" fontId="54" fillId="0" borderId="1" xfId="0" applyFont="1" applyFill="1" applyBorder="1" applyAlignment="1" applyProtection="1">
      <alignment horizontal="centerContinuous"/>
    </xf>
    <xf numFmtId="0" fontId="8" fillId="0" borderId="1" xfId="0" applyFont="1" applyFill="1" applyBorder="1" applyAlignment="1" applyProtection="1">
      <alignment horizontal="center"/>
    </xf>
    <xf numFmtId="0" fontId="0" fillId="0" borderId="1" xfId="0" applyFill="1" applyBorder="1" applyAlignment="1" applyProtection="1">
      <alignment horizontal="center"/>
    </xf>
    <xf numFmtId="0" fontId="33" fillId="0" borderId="1" xfId="0" applyFont="1" applyFill="1" applyBorder="1" applyProtection="1"/>
    <xf numFmtId="0" fontId="54" fillId="0" borderId="1" xfId="0" applyFont="1" applyFill="1" applyBorder="1" applyAlignment="1" applyProtection="1">
      <alignment vertical="center"/>
    </xf>
    <xf numFmtId="37" fontId="54" fillId="0" borderId="1" xfId="0" applyNumberFormat="1" applyFont="1" applyFill="1" applyBorder="1" applyAlignment="1" applyProtection="1">
      <alignment horizontal="center" vertical="center"/>
    </xf>
    <xf numFmtId="37" fontId="11" fillId="0" borderId="1" xfId="0" applyNumberFormat="1" applyFont="1" applyFill="1" applyBorder="1" applyAlignment="1" applyProtection="1">
      <alignment horizontal="center" vertical="center"/>
    </xf>
    <xf numFmtId="0" fontId="33" fillId="0" borderId="1" xfId="0" applyFont="1" applyFill="1" applyBorder="1" applyAlignment="1" applyProtection="1">
      <alignment vertical="center"/>
    </xf>
    <xf numFmtId="0" fontId="33" fillId="0" borderId="0" xfId="0" applyFont="1" applyFill="1" applyProtection="1"/>
    <xf numFmtId="37" fontId="33" fillId="0" borderId="1" xfId="0" applyNumberFormat="1" applyFont="1" applyFill="1" applyBorder="1" applyAlignment="1" applyProtection="1">
      <alignment horizontal="center" vertical="center"/>
    </xf>
    <xf numFmtId="0" fontId="33" fillId="0" borderId="1" xfId="0" applyFont="1" applyFill="1" applyBorder="1" applyAlignment="1" applyProtection="1">
      <alignment horizontal="left" vertical="center"/>
    </xf>
    <xf numFmtId="0" fontId="11" fillId="0" borderId="22" xfId="0" applyFont="1" applyFill="1" applyBorder="1" applyProtection="1"/>
    <xf numFmtId="0" fontId="11" fillId="0" borderId="18" xfId="0" applyFont="1" applyFill="1" applyBorder="1" applyAlignment="1" applyProtection="1">
      <alignment vertical="center"/>
    </xf>
    <xf numFmtId="37" fontId="11" fillId="0" borderId="18" xfId="0" applyNumberFormat="1" applyFont="1" applyFill="1" applyBorder="1" applyAlignment="1" applyProtection="1">
      <alignment horizontal="center" vertical="center"/>
    </xf>
    <xf numFmtId="0" fontId="0" fillId="0" borderId="18" xfId="0" applyFill="1" applyBorder="1" applyAlignment="1" applyProtection="1">
      <alignment horizontal="center"/>
    </xf>
    <xf numFmtId="0" fontId="33" fillId="0" borderId="1" xfId="0" applyFont="1" applyFill="1" applyBorder="1" applyAlignment="1" applyProtection="1">
      <alignment horizontal="left"/>
    </xf>
    <xf numFmtId="0" fontId="8" fillId="0" borderId="1" xfId="0" applyFont="1" applyFill="1" applyBorder="1" applyAlignment="1" applyProtection="1">
      <alignment horizontal="centerContinuous"/>
    </xf>
    <xf numFmtId="0" fontId="33" fillId="0" borderId="1" xfId="0" applyFont="1" applyFill="1" applyBorder="1" applyAlignment="1" applyProtection="1">
      <alignment horizontal="center" vertical="center"/>
    </xf>
    <xf numFmtId="0" fontId="33" fillId="0" borderId="23" xfId="0" applyFont="1" applyFill="1" applyBorder="1" applyProtection="1"/>
    <xf numFmtId="0" fontId="33" fillId="0" borderId="23" xfId="0" applyFont="1" applyFill="1" applyBorder="1" applyAlignment="1" applyProtection="1">
      <alignment vertical="center"/>
    </xf>
    <xf numFmtId="37" fontId="33" fillId="0" borderId="23" xfId="0" applyNumberFormat="1" applyFont="1" applyFill="1" applyBorder="1" applyAlignment="1" applyProtection="1">
      <alignment horizontal="center" vertical="center"/>
    </xf>
    <xf numFmtId="0" fontId="0" fillId="3" borderId="23" xfId="0" applyFill="1" applyBorder="1" applyAlignment="1" applyProtection="1">
      <alignment horizontal="center"/>
      <protection locked="0"/>
    </xf>
    <xf numFmtId="0" fontId="0" fillId="3" borderId="23" xfId="0" applyFill="1" applyBorder="1" applyProtection="1">
      <protection locked="0"/>
    </xf>
    <xf numFmtId="0" fontId="0" fillId="0" borderId="23" xfId="0" applyFill="1" applyBorder="1" applyProtection="1"/>
    <xf numFmtId="0" fontId="11" fillId="0" borderId="61" xfId="0" applyFont="1" applyFill="1" applyBorder="1" applyProtection="1"/>
    <xf numFmtId="0" fontId="11" fillId="0" borderId="36" xfId="0" applyFont="1" applyFill="1" applyBorder="1" applyAlignment="1" applyProtection="1">
      <alignment vertical="center"/>
    </xf>
    <xf numFmtId="37" fontId="11" fillId="0" borderId="36" xfId="0" applyNumberFormat="1" applyFont="1" applyFill="1" applyBorder="1" applyAlignment="1" applyProtection="1">
      <alignment horizontal="center" vertical="center"/>
    </xf>
    <xf numFmtId="0" fontId="0" fillId="0" borderId="36" xfId="0" applyFill="1" applyBorder="1" applyAlignment="1" applyProtection="1">
      <alignment horizontal="center"/>
    </xf>
    <xf numFmtId="0" fontId="0" fillId="0" borderId="36" xfId="0" applyFill="1" applyBorder="1" applyProtection="1"/>
    <xf numFmtId="0" fontId="33" fillId="0" borderId="1" xfId="0" applyFont="1" applyFill="1" applyBorder="1" applyAlignment="1" applyProtection="1">
      <alignment horizontal="center"/>
    </xf>
    <xf numFmtId="0" fontId="11" fillId="0" borderId="1" xfId="0" applyFont="1" applyFill="1" applyBorder="1" applyAlignment="1" applyProtection="1">
      <alignment horizontal="center" vertical="center"/>
    </xf>
    <xf numFmtId="0" fontId="33" fillId="0" borderId="22" xfId="0" applyFont="1" applyFill="1" applyBorder="1" applyProtection="1"/>
    <xf numFmtId="0" fontId="33" fillId="0" borderId="18" xfId="0" applyFont="1" applyFill="1" applyBorder="1" applyAlignment="1" applyProtection="1">
      <alignment vertical="center"/>
    </xf>
    <xf numFmtId="0" fontId="33" fillId="0" borderId="18" xfId="0" applyFont="1" applyFill="1" applyBorder="1" applyAlignment="1" applyProtection="1">
      <alignment horizontal="center" vertical="center"/>
    </xf>
    <xf numFmtId="37" fontId="33" fillId="0" borderId="18" xfId="0" applyNumberFormat="1" applyFont="1" applyFill="1" applyBorder="1" applyAlignment="1" applyProtection="1">
      <alignment horizontal="center" vertical="center"/>
    </xf>
    <xf numFmtId="0" fontId="33" fillId="0" borderId="1" xfId="0" applyFont="1" applyFill="1" applyBorder="1" applyAlignment="1" applyProtection="1">
      <alignment horizontal="centerContinuous"/>
    </xf>
    <xf numFmtId="0" fontId="11" fillId="0" borderId="18"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61" xfId="0" applyFont="1" applyFill="1" applyBorder="1" applyProtection="1"/>
    <xf numFmtId="0" fontId="33" fillId="0" borderId="36" xfId="0" applyFont="1" applyFill="1" applyBorder="1" applyAlignment="1" applyProtection="1">
      <alignment vertical="center"/>
    </xf>
    <xf numFmtId="0" fontId="33" fillId="0" borderId="36" xfId="0" applyFont="1" applyFill="1" applyBorder="1" applyAlignment="1" applyProtection="1">
      <alignment horizontal="center" vertical="center"/>
    </xf>
    <xf numFmtId="37" fontId="33" fillId="0" borderId="36" xfId="0" applyNumberFormat="1" applyFont="1" applyFill="1" applyBorder="1" applyAlignment="1" applyProtection="1">
      <alignment horizontal="center" vertical="center"/>
    </xf>
    <xf numFmtId="0" fontId="33" fillId="0" borderId="31" xfId="0" applyFont="1" applyFill="1" applyBorder="1" applyAlignment="1" applyProtection="1">
      <alignment horizontal="left"/>
    </xf>
    <xf numFmtId="0" fontId="33" fillId="0" borderId="31" xfId="0" applyFont="1" applyFill="1" applyBorder="1" applyAlignment="1" applyProtection="1">
      <alignment horizontal="centerContinuous"/>
    </xf>
    <xf numFmtId="0" fontId="33" fillId="0" borderId="31" xfId="0" applyFont="1" applyFill="1" applyBorder="1" applyAlignment="1" applyProtection="1">
      <alignment horizontal="center"/>
    </xf>
    <xf numFmtId="0" fontId="0" fillId="0" borderId="31" xfId="0" applyFill="1" applyBorder="1" applyAlignment="1" applyProtection="1">
      <alignment horizontal="center"/>
    </xf>
    <xf numFmtId="0" fontId="0" fillId="0" borderId="31" xfId="0" applyFill="1" applyBorder="1" applyProtection="1"/>
    <xf numFmtId="0" fontId="33" fillId="0" borderId="107" xfId="0" applyFont="1" applyFill="1" applyBorder="1" applyProtection="1"/>
    <xf numFmtId="0" fontId="33" fillId="0" borderId="107" xfId="0" applyFont="1" applyFill="1" applyBorder="1" applyAlignment="1" applyProtection="1">
      <alignment vertical="center"/>
    </xf>
    <xf numFmtId="0" fontId="33" fillId="0" borderId="107" xfId="0" applyFont="1" applyFill="1" applyBorder="1" applyAlignment="1" applyProtection="1">
      <alignment horizontal="center" vertical="center"/>
    </xf>
    <xf numFmtId="37" fontId="33" fillId="0" borderId="107" xfId="0" applyNumberFormat="1" applyFont="1" applyFill="1" applyBorder="1" applyAlignment="1" applyProtection="1">
      <alignment horizontal="center" vertical="center"/>
    </xf>
    <xf numFmtId="0" fontId="33" fillId="0" borderId="4" xfId="0" applyFont="1" applyFill="1" applyBorder="1" applyProtection="1"/>
    <xf numFmtId="0" fontId="33" fillId="0"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37" fontId="33" fillId="0" borderId="0" xfId="0" applyNumberFormat="1" applyFont="1" applyFill="1" applyBorder="1" applyAlignment="1" applyProtection="1">
      <alignment horizontal="center" vertical="center"/>
    </xf>
    <xf numFmtId="0" fontId="33" fillId="0" borderId="0" xfId="0" applyFont="1" applyFill="1" applyBorder="1" applyProtection="1"/>
    <xf numFmtId="0" fontId="0" fillId="13" borderId="0" xfId="0" applyFill="1" applyBorder="1" applyProtection="1"/>
    <xf numFmtId="0" fontId="2" fillId="0" borderId="0" xfId="0" applyFont="1" applyFill="1" applyBorder="1"/>
    <xf numFmtId="0" fontId="52" fillId="0" borderId="0" xfId="0" applyFont="1" applyFill="1" applyBorder="1"/>
    <xf numFmtId="0" fontId="53" fillId="0" borderId="0" xfId="0" applyFont="1" applyFill="1" applyBorder="1" applyAlignment="1" applyProtection="1">
      <alignment vertical="center"/>
    </xf>
    <xf numFmtId="166" fontId="5" fillId="0" borderId="1" xfId="0" applyNumberFormat="1" applyFont="1" applyFill="1" applyBorder="1" applyAlignment="1" applyProtection="1">
      <alignment horizontal="right"/>
    </xf>
    <xf numFmtId="0" fontId="2" fillId="0" borderId="1" xfId="0" applyFont="1" applyFill="1" applyBorder="1" applyProtection="1"/>
    <xf numFmtId="0" fontId="47" fillId="0" borderId="0" xfId="0" applyFont="1" applyBorder="1" applyAlignment="1" applyProtection="1">
      <alignment vertical="center"/>
    </xf>
    <xf numFmtId="0" fontId="46" fillId="0" borderId="0" xfId="0" applyFont="1" applyBorder="1" applyAlignment="1" applyProtection="1">
      <alignment wrapText="1"/>
    </xf>
    <xf numFmtId="0" fontId="5" fillId="0" borderId="0" xfId="0" applyFont="1" applyBorder="1" applyAlignment="1" applyProtection="1"/>
    <xf numFmtId="0" fontId="47" fillId="0" borderId="92" xfId="0" applyFont="1" applyBorder="1" applyAlignment="1" applyProtection="1">
      <alignment horizontal="left"/>
    </xf>
    <xf numFmtId="0" fontId="47" fillId="0" borderId="0" xfId="0" applyFont="1" applyBorder="1" applyAlignment="1" applyProtection="1">
      <alignment horizontal="center" wrapText="1"/>
    </xf>
    <xf numFmtId="0" fontId="4" fillId="0" borderId="0" xfId="0" applyFont="1" applyBorder="1" applyAlignment="1" applyProtection="1">
      <alignment horizontal="center"/>
    </xf>
    <xf numFmtId="0" fontId="0" fillId="0" borderId="1" xfId="0" applyFont="1" applyFill="1" applyBorder="1" applyAlignment="1" applyProtection="1"/>
    <xf numFmtId="0" fontId="46" fillId="0" borderId="1" xfId="0" applyFont="1" applyFill="1" applyBorder="1" applyAlignment="1" applyProtection="1">
      <alignment vertical="center" wrapText="1"/>
    </xf>
    <xf numFmtId="0" fontId="5" fillId="0" borderId="1" xfId="0" applyFont="1" applyFill="1" applyBorder="1" applyAlignment="1" applyProtection="1"/>
    <xf numFmtId="37" fontId="46" fillId="0" borderId="1" xfId="0" applyNumberFormat="1" applyFont="1" applyFill="1" applyBorder="1" applyAlignment="1" applyProtection="1">
      <alignment horizontal="center" vertical="center"/>
    </xf>
    <xf numFmtId="0" fontId="0" fillId="0" borderId="0" xfId="0" applyFont="1" applyFill="1" applyBorder="1" applyAlignment="1" applyProtection="1"/>
    <xf numFmtId="0" fontId="0" fillId="0" borderId="0" xfId="0" applyFont="1" applyFill="1" applyBorder="1" applyAlignment="1" applyProtection="1">
      <alignment vertical="center" wrapText="1"/>
    </xf>
    <xf numFmtId="0" fontId="43" fillId="0" borderId="0" xfId="0" applyFont="1" applyFill="1" applyBorder="1" applyAlignment="1" applyProtection="1"/>
    <xf numFmtId="37" fontId="0" fillId="0" borderId="0" xfId="0" applyNumberFormat="1" applyFont="1" applyFill="1" applyBorder="1" applyAlignment="1" applyProtection="1">
      <alignment horizontal="center" vertical="center"/>
    </xf>
    <xf numFmtId="0" fontId="45" fillId="0" borderId="92" xfId="0" applyFont="1" applyFill="1" applyBorder="1" applyAlignment="1" applyProtection="1"/>
    <xf numFmtId="0" fontId="46" fillId="0" borderId="0" xfId="0" applyFont="1" applyFill="1" applyBorder="1" applyAlignment="1" applyProtection="1">
      <alignment vertical="center" wrapText="1"/>
    </xf>
    <xf numFmtId="0" fontId="43" fillId="0" borderId="1" xfId="0" applyFont="1" applyFill="1" applyBorder="1" applyAlignment="1" applyProtection="1"/>
    <xf numFmtId="37" fontId="0" fillId="0" borderId="1" xfId="0" applyNumberFormat="1" applyFont="1" applyFill="1" applyBorder="1" applyAlignment="1" applyProtection="1">
      <alignment horizontal="center" vertical="center"/>
    </xf>
    <xf numFmtId="0" fontId="48" fillId="0" borderId="1" xfId="0" applyFont="1" applyFill="1" applyBorder="1" applyAlignment="1" applyProtection="1"/>
    <xf numFmtId="0" fontId="0" fillId="0" borderId="1" xfId="0" applyFont="1" applyFill="1" applyBorder="1" applyAlignment="1" applyProtection="1">
      <alignment vertical="center" wrapText="1"/>
    </xf>
    <xf numFmtId="0" fontId="42" fillId="0" borderId="0" xfId="0" applyFont="1" applyFill="1" applyBorder="1" applyAlignment="1" applyProtection="1"/>
    <xf numFmtId="0" fontId="44" fillId="0" borderId="1" xfId="0" applyFont="1" applyFill="1" applyBorder="1" applyAlignment="1" applyProtection="1">
      <alignment wrapText="1"/>
    </xf>
    <xf numFmtId="0" fontId="45" fillId="0" borderId="0" xfId="0" applyFont="1" applyFill="1" applyBorder="1" applyAlignment="1" applyProtection="1"/>
    <xf numFmtId="0" fontId="49" fillId="0" borderId="0" xfId="0" applyFont="1" applyFill="1" applyBorder="1" applyAlignment="1" applyProtection="1"/>
    <xf numFmtId="37" fontId="46" fillId="0" borderId="0" xfId="0" applyNumberFormat="1" applyFont="1" applyFill="1" applyBorder="1" applyAlignment="1" applyProtection="1">
      <alignment horizontal="center" vertical="center"/>
    </xf>
    <xf numFmtId="0" fontId="46" fillId="0" borderId="1" xfId="0" applyFont="1" applyFill="1" applyBorder="1" applyAlignment="1" applyProtection="1"/>
    <xf numFmtId="0" fontId="49" fillId="0" borderId="1" xfId="0" applyFont="1" applyFill="1" applyBorder="1" applyAlignment="1" applyProtection="1"/>
    <xf numFmtId="0" fontId="42" fillId="0" borderId="93" xfId="0" applyFont="1" applyFill="1" applyBorder="1" applyAlignment="1" applyProtection="1"/>
    <xf numFmtId="0" fontId="0" fillId="0" borderId="93" xfId="0" applyFont="1" applyFill="1" applyBorder="1" applyAlignment="1" applyProtection="1">
      <alignment vertical="center" wrapText="1"/>
    </xf>
    <xf numFmtId="0" fontId="43" fillId="0" borderId="93" xfId="0" applyFont="1" applyFill="1" applyBorder="1" applyAlignment="1" applyProtection="1"/>
    <xf numFmtId="37" fontId="0" fillId="0" borderId="93" xfId="0" applyNumberFormat="1" applyFont="1" applyFill="1" applyBorder="1" applyAlignment="1" applyProtection="1">
      <alignment horizontal="center" vertical="center"/>
    </xf>
    <xf numFmtId="0" fontId="0" fillId="0" borderId="94" xfId="0" applyFont="1" applyFill="1" applyBorder="1" applyAlignment="1" applyProtection="1"/>
    <xf numFmtId="0" fontId="44" fillId="0" borderId="95" xfId="0" applyFont="1" applyFill="1" applyBorder="1" applyAlignment="1" applyProtection="1">
      <alignment vertical="center" wrapText="1"/>
    </xf>
    <xf numFmtId="0" fontId="43" fillId="0" borderId="95" xfId="0" applyFont="1" applyFill="1" applyBorder="1" applyAlignment="1" applyProtection="1"/>
    <xf numFmtId="37" fontId="46" fillId="0" borderId="95" xfId="0" applyNumberFormat="1" applyFont="1" applyFill="1" applyBorder="1" applyAlignment="1" applyProtection="1">
      <alignment horizontal="center" vertical="center"/>
    </xf>
    <xf numFmtId="0" fontId="0" fillId="0" borderId="96" xfId="0" applyFont="1" applyFill="1" applyBorder="1" applyAlignment="1" applyProtection="1"/>
    <xf numFmtId="0" fontId="0" fillId="0" borderId="96" xfId="0" applyFont="1" applyFill="1" applyBorder="1" applyAlignment="1" applyProtection="1">
      <alignment vertical="center" wrapText="1"/>
    </xf>
    <xf numFmtId="0" fontId="43" fillId="0" borderId="96" xfId="0" applyFont="1" applyFill="1" applyBorder="1" applyAlignment="1" applyProtection="1"/>
    <xf numFmtId="37" fontId="0" fillId="0" borderId="96" xfId="0" applyNumberFormat="1" applyFont="1" applyFill="1" applyBorder="1" applyAlignment="1" applyProtection="1">
      <alignment horizontal="center" vertical="center"/>
    </xf>
    <xf numFmtId="0" fontId="45" fillId="0" borderId="92" xfId="0" applyFont="1" applyBorder="1" applyAlignment="1" applyProtection="1">
      <alignment vertical="center"/>
    </xf>
    <xf numFmtId="0" fontId="45" fillId="0" borderId="0" xfId="0" applyFont="1" applyAlignment="1" applyProtection="1">
      <alignment vertical="center" wrapText="1"/>
    </xf>
    <xf numFmtId="0" fontId="42" fillId="0" borderId="0" xfId="0" applyFont="1" applyAlignment="1" applyProtection="1">
      <alignment vertical="center"/>
    </xf>
    <xf numFmtId="0" fontId="45" fillId="0" borderId="0" xfId="0" applyFont="1" applyBorder="1" applyAlignment="1" applyProtection="1">
      <alignment horizontal="left"/>
    </xf>
    <xf numFmtId="0" fontId="45" fillId="0" borderId="93" xfId="0" applyFont="1" applyBorder="1" applyAlignment="1" applyProtection="1">
      <alignment horizontal="center" wrapText="1"/>
    </xf>
    <xf numFmtId="0" fontId="42" fillId="0" borderId="93" xfId="0" applyFont="1" applyBorder="1" applyAlignment="1" applyProtection="1">
      <alignment horizontal="center"/>
    </xf>
    <xf numFmtId="0" fontId="42" fillId="0" borderId="0" xfId="0" applyFont="1" applyBorder="1" applyAlignment="1" applyProtection="1">
      <alignment horizontal="center"/>
    </xf>
    <xf numFmtId="0" fontId="0" fillId="0" borderId="1" xfId="0" applyFont="1" applyBorder="1" applyAlignment="1" applyProtection="1"/>
    <xf numFmtId="0" fontId="46" fillId="0" borderId="92" xfId="0" applyFont="1" applyBorder="1" applyAlignment="1" applyProtection="1">
      <alignment wrapText="1"/>
    </xf>
    <xf numFmtId="0" fontId="43" fillId="0" borderId="92" xfId="0" applyFont="1" applyBorder="1" applyAlignment="1" applyProtection="1"/>
    <xf numFmtId="37" fontId="46" fillId="0" borderId="1" xfId="0" applyNumberFormat="1" applyFont="1" applyBorder="1" applyAlignment="1" applyProtection="1">
      <alignment horizontal="center" vertical="center"/>
    </xf>
    <xf numFmtId="0" fontId="0" fillId="0" borderId="0" xfId="0" applyFont="1" applyBorder="1" applyAlignment="1" applyProtection="1"/>
    <xf numFmtId="0" fontId="0" fillId="0" borderId="96" xfId="0" applyFont="1" applyBorder="1" applyAlignment="1" applyProtection="1">
      <alignment vertical="center" wrapText="1"/>
    </xf>
    <xf numFmtId="0" fontId="43" fillId="0" borderId="96" xfId="0" applyFont="1" applyBorder="1" applyAlignment="1" applyProtection="1"/>
    <xf numFmtId="37" fontId="0" fillId="0" borderId="0" xfId="0" applyNumberFormat="1" applyFont="1" applyBorder="1" applyAlignment="1" applyProtection="1">
      <alignment horizontal="center" vertical="center"/>
    </xf>
    <xf numFmtId="0" fontId="45" fillId="0" borderId="0" xfId="0" applyFont="1" applyBorder="1" applyAlignment="1" applyProtection="1"/>
    <xf numFmtId="0" fontId="0" fillId="0" borderId="93" xfId="0" applyFont="1" applyBorder="1" applyAlignment="1" applyProtection="1">
      <alignment vertical="center" wrapText="1"/>
    </xf>
    <xf numFmtId="0" fontId="43" fillId="0" borderId="93" xfId="0" applyFont="1" applyBorder="1" applyAlignment="1" applyProtection="1"/>
    <xf numFmtId="37" fontId="0" fillId="0" borderId="93" xfId="0" applyNumberFormat="1" applyFont="1" applyBorder="1" applyAlignment="1" applyProtection="1">
      <alignment horizontal="center" vertical="center"/>
    </xf>
    <xf numFmtId="0" fontId="48" fillId="0" borderId="94" xfId="0" applyFont="1" applyBorder="1" applyAlignment="1" applyProtection="1">
      <alignment wrapText="1"/>
    </xf>
    <xf numFmtId="0" fontId="43" fillId="0" borderId="94" xfId="0" applyFont="1" applyBorder="1" applyAlignment="1" applyProtection="1"/>
    <xf numFmtId="0" fontId="0" fillId="0" borderId="0" xfId="0" applyFont="1" applyAlignment="1" applyProtection="1"/>
    <xf numFmtId="0" fontId="0" fillId="0" borderId="0" xfId="0" applyFont="1" applyAlignment="1" applyProtection="1">
      <alignment vertical="center" wrapText="1"/>
    </xf>
    <xf numFmtId="0" fontId="43" fillId="0" borderId="0" xfId="0" applyFont="1" applyAlignment="1" applyProtection="1"/>
    <xf numFmtId="37" fontId="0" fillId="0" borderId="0" xfId="0" applyNumberFormat="1" applyFont="1" applyAlignment="1" applyProtection="1">
      <alignment horizontal="center" vertical="center"/>
    </xf>
    <xf numFmtId="0" fontId="45" fillId="0" borderId="93" xfId="0" applyFont="1" applyBorder="1" applyAlignment="1" applyProtection="1"/>
    <xf numFmtId="37" fontId="46" fillId="0" borderId="93" xfId="0" applyNumberFormat="1" applyFont="1" applyBorder="1" applyAlignment="1" applyProtection="1">
      <alignment horizontal="center" vertical="center"/>
    </xf>
    <xf numFmtId="0" fontId="0" fillId="0" borderId="97" xfId="0" applyFont="1" applyBorder="1" applyAlignment="1" applyProtection="1"/>
    <xf numFmtId="0" fontId="46" fillId="0" borderId="97" xfId="0" applyFont="1" applyBorder="1" applyAlignment="1" applyProtection="1">
      <alignment wrapText="1"/>
    </xf>
    <xf numFmtId="0" fontId="43" fillId="0" borderId="97" xfId="0" applyFont="1" applyBorder="1" applyAlignment="1" applyProtection="1"/>
    <xf numFmtId="37" fontId="0" fillId="0" borderId="97" xfId="0" applyNumberFormat="1" applyFont="1" applyBorder="1" applyAlignment="1" applyProtection="1">
      <alignment horizontal="center" vertical="center"/>
    </xf>
    <xf numFmtId="0" fontId="0" fillId="0" borderId="96" xfId="0" applyFont="1" applyBorder="1" applyAlignment="1" applyProtection="1"/>
    <xf numFmtId="0" fontId="0" fillId="0" borderId="96" xfId="0" applyFont="1" applyBorder="1" applyAlignment="1" applyProtection="1">
      <alignment wrapText="1"/>
    </xf>
    <xf numFmtId="37" fontId="0" fillId="0" borderId="96" xfId="0" applyNumberFormat="1" applyFont="1" applyBorder="1" applyAlignment="1" applyProtection="1">
      <alignment horizontal="center" vertical="center"/>
    </xf>
    <xf numFmtId="0" fontId="46" fillId="0" borderId="93" xfId="0" applyFont="1" applyBorder="1" applyAlignment="1" applyProtection="1">
      <alignment vertical="center" wrapText="1"/>
    </xf>
    <xf numFmtId="0" fontId="49" fillId="0" borderId="93" xfId="0" applyFont="1" applyBorder="1" applyAlignment="1" applyProtection="1"/>
    <xf numFmtId="0" fontId="46" fillId="0" borderId="97" xfId="0" applyFont="1" applyBorder="1" applyAlignment="1" applyProtection="1"/>
    <xf numFmtId="0" fontId="49" fillId="0" borderId="97" xfId="0" applyFont="1" applyBorder="1" applyAlignment="1" applyProtection="1"/>
    <xf numFmtId="0" fontId="46" fillId="0" borderId="96" xfId="0" applyFont="1" applyBorder="1" applyAlignment="1" applyProtection="1"/>
    <xf numFmtId="0" fontId="46" fillId="0" borderId="96" xfId="0" applyFont="1" applyBorder="1" applyAlignment="1" applyProtection="1">
      <alignment vertical="center" wrapText="1"/>
    </xf>
    <xf numFmtId="0" fontId="49" fillId="0" borderId="96" xfId="0" applyFont="1" applyBorder="1" applyAlignment="1" applyProtection="1"/>
    <xf numFmtId="37" fontId="46" fillId="0" borderId="96" xfId="0" applyNumberFormat="1" applyFont="1" applyBorder="1" applyAlignment="1" applyProtection="1">
      <alignment horizontal="center" vertical="center"/>
    </xf>
    <xf numFmtId="0" fontId="46" fillId="0" borderId="94" xfId="0" applyFont="1" applyBorder="1" applyAlignment="1" applyProtection="1">
      <alignment wrapText="1"/>
    </xf>
    <xf numFmtId="0" fontId="49" fillId="0" borderId="94" xfId="0" applyFont="1" applyBorder="1" applyAlignment="1" applyProtection="1"/>
    <xf numFmtId="0" fontId="49" fillId="0" borderId="0" xfId="0" applyFont="1" applyBorder="1" applyAlignment="1" applyProtection="1"/>
    <xf numFmtId="0" fontId="49" fillId="0" borderId="1" xfId="0" applyFont="1" applyBorder="1" applyAlignment="1" applyProtection="1"/>
    <xf numFmtId="0" fontId="46" fillId="0" borderId="94" xfId="0" applyFont="1" applyBorder="1" applyAlignment="1" applyProtection="1"/>
    <xf numFmtId="0" fontId="46" fillId="0" borderId="0" xfId="0" applyFont="1" applyBorder="1" applyAlignment="1" applyProtection="1">
      <alignment vertical="center" wrapText="1"/>
    </xf>
    <xf numFmtId="37" fontId="46" fillId="0" borderId="0" xfId="0" applyNumberFormat="1" applyFont="1" applyBorder="1" applyAlignment="1" applyProtection="1">
      <alignment horizontal="center" vertical="center"/>
    </xf>
    <xf numFmtId="0" fontId="46" fillId="0" borderId="98" xfId="0" applyFont="1" applyBorder="1" applyAlignment="1" applyProtection="1"/>
    <xf numFmtId="0" fontId="48" fillId="0" borderId="1" xfId="0" applyFont="1" applyBorder="1" applyAlignment="1" applyProtection="1">
      <alignment vertical="center" wrapText="1"/>
    </xf>
    <xf numFmtId="0" fontId="45" fillId="0" borderId="99" xfId="0" applyFont="1" applyBorder="1" applyAlignment="1" applyProtection="1">
      <alignment vertical="center"/>
    </xf>
    <xf numFmtId="0" fontId="45" fillId="0" borderId="93" xfId="0" applyFont="1" applyBorder="1" applyAlignment="1" applyProtection="1">
      <alignment vertical="center" wrapText="1"/>
    </xf>
    <xf numFmtId="0" fontId="45" fillId="0" borderId="0" xfId="0" applyFont="1" applyAlignment="1" applyProtection="1">
      <alignment vertical="center"/>
    </xf>
    <xf numFmtId="0" fontId="45" fillId="0" borderId="93" xfId="0" applyFont="1" applyBorder="1" applyAlignment="1" applyProtection="1">
      <alignment vertical="center"/>
    </xf>
    <xf numFmtId="0" fontId="46" fillId="0" borderId="95" xfId="0" applyFont="1" applyBorder="1" applyAlignment="1" applyProtection="1"/>
    <xf numFmtId="0" fontId="46" fillId="0" borderId="95" xfId="0" applyFont="1" applyBorder="1" applyAlignment="1" applyProtection="1">
      <alignment horizontal="left" wrapText="1"/>
    </xf>
    <xf numFmtId="0" fontId="46" fillId="0" borderId="95" xfId="0" applyFont="1" applyBorder="1" applyAlignment="1" applyProtection="1">
      <alignment horizontal="center"/>
    </xf>
    <xf numFmtId="37" fontId="46" fillId="0" borderId="95" xfId="0" applyNumberFormat="1" applyFont="1" applyBorder="1" applyAlignment="1" applyProtection="1">
      <alignment horizontal="center" vertical="center"/>
    </xf>
    <xf numFmtId="0" fontId="46" fillId="0" borderId="95" xfId="0" applyFont="1" applyBorder="1" applyAlignment="1" applyProtection="1">
      <alignment vertical="center" wrapText="1"/>
    </xf>
    <xf numFmtId="0" fontId="46" fillId="0" borderId="95" xfId="0" applyFont="1" applyBorder="1" applyAlignment="1" applyProtection="1">
      <alignment horizontal="center" vertical="center"/>
    </xf>
    <xf numFmtId="0" fontId="46" fillId="0" borderId="96" xfId="0" applyFont="1" applyBorder="1" applyAlignment="1" applyProtection="1">
      <alignment horizontal="center" vertical="center"/>
    </xf>
    <xf numFmtId="0" fontId="46" fillId="0" borderId="93" xfId="0" applyFont="1" applyBorder="1" applyAlignment="1" applyProtection="1">
      <alignment horizontal="center" vertical="center"/>
    </xf>
    <xf numFmtId="0" fontId="46" fillId="0" borderId="94" xfId="0" applyFont="1" applyBorder="1" applyAlignment="1" applyProtection="1">
      <alignment vertical="center" wrapText="1"/>
    </xf>
    <xf numFmtId="0" fontId="46" fillId="0" borderId="94" xfId="0" applyFont="1" applyBorder="1" applyAlignment="1" applyProtection="1">
      <alignment horizontal="center" vertical="center"/>
    </xf>
    <xf numFmtId="37" fontId="46" fillId="0" borderId="94" xfId="0" applyNumberFormat="1" applyFont="1" applyBorder="1" applyAlignment="1" applyProtection="1">
      <alignment horizontal="center" vertical="center"/>
    </xf>
    <xf numFmtId="0" fontId="46" fillId="0" borderId="0" xfId="0" applyFont="1" applyAlignment="1" applyProtection="1">
      <alignment horizontal="center" vertical="center"/>
    </xf>
    <xf numFmtId="0" fontId="46" fillId="0" borderId="95" xfId="0" applyFont="1" applyBorder="1" applyAlignment="1" applyProtection="1">
      <alignment wrapText="1"/>
    </xf>
    <xf numFmtId="0" fontId="46" fillId="0" borderId="100" xfId="0" applyFont="1" applyBorder="1" applyAlignment="1" applyProtection="1"/>
    <xf numFmtId="0" fontId="46" fillId="0" borderId="94" xfId="0" applyFont="1" applyBorder="1" applyAlignment="1" applyProtection="1">
      <alignment horizontal="center"/>
    </xf>
    <xf numFmtId="0" fontId="46" fillId="0" borderId="101" xfId="0" applyFont="1" applyBorder="1" applyAlignment="1" applyProtection="1"/>
    <xf numFmtId="0" fontId="46" fillId="0" borderId="0" xfId="0" applyFont="1" applyBorder="1" applyAlignment="1" applyProtection="1"/>
    <xf numFmtId="0" fontId="46" fillId="0" borderId="0" xfId="0" applyFont="1" applyBorder="1" applyAlignment="1" applyProtection="1">
      <alignment horizontal="center" vertical="center"/>
    </xf>
    <xf numFmtId="0" fontId="45" fillId="0" borderId="93" xfId="0" applyFont="1" applyBorder="1" applyAlignment="1" applyProtection="1">
      <alignment horizontal="left"/>
    </xf>
    <xf numFmtId="0" fontId="45" fillId="0" borderId="93" xfId="0" applyFont="1" applyBorder="1" applyAlignment="1" applyProtection="1">
      <alignment horizontal="center"/>
    </xf>
    <xf numFmtId="0" fontId="46" fillId="0" borderId="94" xfId="0" applyFont="1" applyBorder="1" applyAlignment="1" applyProtection="1">
      <alignment horizontal="left" vertical="center" wrapText="1"/>
    </xf>
    <xf numFmtId="0" fontId="46" fillId="0" borderId="96" xfId="0" applyFont="1" applyBorder="1" applyAlignment="1" applyProtection="1">
      <alignment horizontal="left" vertical="center" wrapText="1"/>
    </xf>
    <xf numFmtId="0" fontId="46" fillId="0" borderId="94" xfId="0" applyFont="1" applyFill="1" applyBorder="1" applyAlignment="1" applyProtection="1"/>
    <xf numFmtId="0" fontId="46" fillId="0" borderId="95" xfId="0" applyFont="1" applyFill="1" applyBorder="1" applyAlignment="1" applyProtection="1">
      <alignment wrapText="1"/>
    </xf>
    <xf numFmtId="0" fontId="46" fillId="0" borderId="95" xfId="0" applyFont="1" applyFill="1" applyBorder="1" applyAlignment="1" applyProtection="1">
      <alignment horizontal="center"/>
    </xf>
    <xf numFmtId="37" fontId="46" fillId="0" borderId="98" xfId="0" applyNumberFormat="1" applyFont="1" applyFill="1" applyBorder="1" applyAlignment="1" applyProtection="1">
      <alignment horizontal="center" vertical="center"/>
    </xf>
    <xf numFmtId="0" fontId="45" fillId="0" borderId="0" xfId="0" applyFont="1" applyFill="1" applyAlignment="1" applyProtection="1"/>
    <xf numFmtId="0" fontId="46" fillId="0" borderId="0" xfId="0" applyFont="1" applyFill="1" applyAlignment="1" applyProtection="1">
      <alignment horizontal="left" vertical="center" wrapText="1"/>
    </xf>
    <xf numFmtId="0" fontId="46" fillId="0" borderId="0" xfId="0" applyFont="1" applyFill="1" applyAlignment="1" applyProtection="1">
      <alignment horizontal="center" vertical="center"/>
    </xf>
    <xf numFmtId="37" fontId="46" fillId="0" borderId="0" xfId="0" applyNumberFormat="1" applyFont="1" applyAlignment="1" applyProtection="1">
      <alignment horizontal="center" vertical="center"/>
    </xf>
    <xf numFmtId="0" fontId="50" fillId="0" borderId="93" xfId="0" applyFont="1" applyFill="1" applyBorder="1" applyAlignment="1" applyProtection="1"/>
    <xf numFmtId="0" fontId="46" fillId="0" borderId="93" xfId="0" applyFont="1" applyFill="1" applyBorder="1" applyAlignment="1" applyProtection="1">
      <alignment vertical="center" wrapText="1"/>
    </xf>
    <xf numFmtId="0" fontId="46" fillId="0" borderId="97" xfId="0" applyFont="1" applyFill="1" applyBorder="1" applyAlignment="1" applyProtection="1"/>
    <xf numFmtId="0" fontId="46" fillId="0" borderId="101" xfId="0" applyFont="1" applyFill="1" applyBorder="1" applyAlignment="1" applyProtection="1">
      <alignment wrapText="1"/>
    </xf>
    <xf numFmtId="0" fontId="46" fillId="0" borderId="101" xfId="0" applyFont="1" applyFill="1" applyBorder="1" applyAlignment="1" applyProtection="1">
      <alignment horizontal="center"/>
    </xf>
    <xf numFmtId="37" fontId="46" fillId="0" borderId="101" xfId="0" applyNumberFormat="1" applyFont="1" applyFill="1" applyBorder="1" applyAlignment="1" applyProtection="1">
      <alignment horizontal="center" vertical="center"/>
    </xf>
    <xf numFmtId="0" fontId="45" fillId="0" borderId="36" xfId="0" applyFont="1" applyFill="1" applyBorder="1" applyAlignment="1" applyProtection="1">
      <alignment horizontal="left"/>
    </xf>
    <xf numFmtId="0" fontId="45" fillId="0" borderId="36" xfId="0" applyFont="1" applyFill="1" applyBorder="1" applyAlignment="1" applyProtection="1">
      <alignment horizontal="center" wrapText="1"/>
    </xf>
    <xf numFmtId="0" fontId="45" fillId="0" borderId="36" xfId="0" applyFont="1" applyFill="1" applyBorder="1" applyAlignment="1" applyProtection="1">
      <alignment horizontal="center"/>
    </xf>
    <xf numFmtId="0" fontId="45" fillId="0" borderId="36" xfId="0" applyFont="1" applyBorder="1" applyAlignment="1" applyProtection="1">
      <alignment horizontal="center"/>
    </xf>
    <xf numFmtId="0" fontId="45" fillId="0" borderId="0" xfId="0" applyFont="1" applyFill="1" applyBorder="1" applyAlignment="1" applyProtection="1">
      <alignment horizontal="left"/>
    </xf>
    <xf numFmtId="0" fontId="45" fillId="0" borderId="93" xfId="0" applyFont="1" applyFill="1" applyBorder="1" applyAlignment="1" applyProtection="1">
      <alignment horizontal="center" wrapText="1"/>
    </xf>
    <xf numFmtId="0" fontId="45" fillId="0" borderId="93" xfId="0" applyFont="1" applyFill="1" applyBorder="1" applyAlignment="1" applyProtection="1">
      <alignment horizontal="center"/>
    </xf>
    <xf numFmtId="0" fontId="46" fillId="0" borderId="102" xfId="0" applyFont="1" applyFill="1" applyBorder="1" applyAlignment="1" applyProtection="1">
      <alignment horizontal="left" wrapText="1"/>
    </xf>
    <xf numFmtId="0" fontId="46" fillId="0" borderId="94" xfId="0" applyFont="1" applyFill="1" applyBorder="1" applyAlignment="1" applyProtection="1">
      <alignment horizontal="center"/>
    </xf>
    <xf numFmtId="37" fontId="46" fillId="0" borderId="94" xfId="0" applyNumberFormat="1" applyFont="1" applyFill="1" applyBorder="1" applyAlignment="1" applyProtection="1">
      <alignment horizontal="center" vertical="center"/>
    </xf>
    <xf numFmtId="0" fontId="46" fillId="0" borderId="0" xfId="0" applyFont="1" applyAlignment="1" applyProtection="1">
      <alignment vertical="center" wrapText="1"/>
    </xf>
    <xf numFmtId="0" fontId="45" fillId="0" borderId="92" xfId="0" applyFont="1" applyBorder="1" applyAlignment="1" applyProtection="1"/>
    <xf numFmtId="0" fontId="46" fillId="0" borderId="103" xfId="0" applyFont="1" applyFill="1" applyBorder="1" applyAlignment="1" applyProtection="1"/>
    <xf numFmtId="0" fontId="46" fillId="0" borderId="1" xfId="0" applyFont="1" applyBorder="1" applyAlignment="1" applyProtection="1">
      <alignment wrapText="1"/>
    </xf>
    <xf numFmtId="0" fontId="46" fillId="0" borderId="1" xfId="0" applyFont="1" applyBorder="1" applyAlignment="1" applyProtection="1">
      <alignment horizontal="center"/>
    </xf>
    <xf numFmtId="0" fontId="46" fillId="0" borderId="0" xfId="0" applyFont="1" applyBorder="1" applyAlignment="1" applyProtection="1">
      <alignment horizontal="left" vertical="center" wrapText="1"/>
    </xf>
    <xf numFmtId="0" fontId="46" fillId="0" borderId="0" xfId="0" applyFont="1" applyAlignment="1" applyProtection="1">
      <alignment wrapText="1"/>
    </xf>
    <xf numFmtId="0" fontId="46" fillId="0" borderId="0" xfId="0" applyFont="1" applyAlignment="1" applyProtection="1"/>
    <xf numFmtId="0" fontId="45" fillId="0" borderId="0" xfId="0" applyFont="1" applyAlignment="1" applyProtection="1">
      <alignment horizontal="left"/>
    </xf>
    <xf numFmtId="0" fontId="45" fillId="0" borderId="0" xfId="0" applyFont="1" applyAlignment="1" applyProtection="1">
      <alignment horizontal="center" wrapText="1"/>
    </xf>
    <xf numFmtId="0" fontId="45" fillId="0" borderId="0" xfId="0" applyFont="1" applyAlignment="1" applyProtection="1">
      <alignment horizontal="center"/>
    </xf>
    <xf numFmtId="0" fontId="46" fillId="0" borderId="95" xfId="0" applyFont="1" applyBorder="1" applyAlignment="1" applyProtection="1">
      <alignment horizontal="left"/>
    </xf>
    <xf numFmtId="0" fontId="45" fillId="0" borderId="95" xfId="0" applyFont="1" applyBorder="1" applyAlignment="1" applyProtection="1">
      <alignment horizontal="center"/>
    </xf>
    <xf numFmtId="0" fontId="45" fillId="0" borderId="0" xfId="0" applyFont="1" applyAlignment="1" applyProtection="1"/>
    <xf numFmtId="0" fontId="45" fillId="0" borderId="0" xfId="0" applyFont="1" applyBorder="1" applyAlignment="1" applyProtection="1">
      <alignment horizontal="center" wrapText="1"/>
    </xf>
    <xf numFmtId="0" fontId="45" fillId="0" borderId="0" xfId="0" applyFont="1" applyBorder="1" applyAlignment="1" applyProtection="1">
      <alignment horizontal="center"/>
    </xf>
    <xf numFmtId="0" fontId="46" fillId="0" borderId="1" xfId="0" applyFont="1" applyBorder="1" applyAlignment="1" applyProtection="1"/>
    <xf numFmtId="0" fontId="46" fillId="0" borderId="1" xfId="0" applyFont="1" applyBorder="1" applyAlignment="1" applyProtection="1">
      <alignment horizontal="left" vertical="center" wrapText="1"/>
    </xf>
    <xf numFmtId="0" fontId="46" fillId="0" borderId="1" xfId="0" applyFont="1" applyBorder="1" applyAlignment="1" applyProtection="1">
      <alignment horizontal="center" vertical="center"/>
    </xf>
    <xf numFmtId="0" fontId="46" fillId="0" borderId="95" xfId="0" applyFont="1" applyBorder="1" applyAlignment="1" applyProtection="1">
      <alignment horizontal="left" vertical="center" wrapText="1"/>
    </xf>
    <xf numFmtId="0" fontId="46" fillId="0" borderId="0" xfId="0" applyFont="1" applyAlignment="1" applyProtection="1">
      <alignment horizontal="left" vertical="center" wrapText="1"/>
    </xf>
    <xf numFmtId="0" fontId="46" fillId="0" borderId="95" xfId="0" applyFont="1" applyFill="1" applyBorder="1" applyAlignment="1" applyProtection="1"/>
    <xf numFmtId="0" fontId="46" fillId="0" borderId="95" xfId="0" applyFont="1" applyFill="1" applyBorder="1" applyAlignment="1" applyProtection="1">
      <alignment horizontal="left" vertical="center" wrapText="1"/>
    </xf>
    <xf numFmtId="0" fontId="46" fillId="0" borderId="95" xfId="0" applyFont="1" applyFill="1" applyBorder="1" applyAlignment="1" applyProtection="1">
      <alignment horizontal="center" vertical="center"/>
    </xf>
    <xf numFmtId="0" fontId="46" fillId="0" borderId="1" xfId="0" applyFont="1" applyBorder="1" applyAlignment="1" applyProtection="1">
      <alignment horizontal="left" wrapText="1"/>
    </xf>
    <xf numFmtId="0" fontId="46" fillId="0" borderId="0" xfId="0" applyFont="1" applyBorder="1" applyAlignment="1" applyProtection="1">
      <alignment horizontal="left" wrapText="1"/>
    </xf>
    <xf numFmtId="0" fontId="46" fillId="0" borderId="0" xfId="0" applyFont="1" applyBorder="1" applyAlignment="1" applyProtection="1">
      <alignment horizontal="center"/>
    </xf>
    <xf numFmtId="0" fontId="45" fillId="0" borderId="93" xfId="0" applyFont="1" applyBorder="1" applyAlignment="1" applyProtection="1">
      <alignment wrapText="1"/>
    </xf>
    <xf numFmtId="0" fontId="46" fillId="0" borderId="104" xfId="0" applyFont="1" applyBorder="1" applyAlignment="1" applyProtection="1"/>
    <xf numFmtId="0" fontId="46" fillId="0" borderId="99" xfId="0" applyFont="1" applyBorder="1" applyAlignment="1" applyProtection="1">
      <alignment vertical="center" wrapText="1"/>
    </xf>
    <xf numFmtId="0" fontId="46" fillId="0" borderId="102" xfId="0" applyFont="1" applyBorder="1" applyAlignment="1" applyProtection="1">
      <alignment horizontal="left" wrapText="1"/>
    </xf>
    <xf numFmtId="0" fontId="45" fillId="0" borderId="31" xfId="0" applyFont="1" applyBorder="1" applyAlignment="1" applyProtection="1"/>
    <xf numFmtId="0" fontId="46" fillId="0" borderId="102" xfId="0" applyFont="1" applyBorder="1" applyAlignment="1" applyProtection="1">
      <alignment wrapText="1"/>
    </xf>
    <xf numFmtId="0" fontId="46" fillId="0" borderId="97" xfId="0" applyFont="1" applyBorder="1" applyAlignment="1" applyProtection="1">
      <alignment horizontal="center"/>
    </xf>
    <xf numFmtId="37" fontId="46" fillId="0" borderId="97" xfId="0" applyNumberFormat="1" applyFont="1" applyBorder="1" applyAlignment="1" applyProtection="1">
      <alignment horizontal="center" vertical="center"/>
    </xf>
    <xf numFmtId="0" fontId="45" fillId="0" borderId="99" xfId="0" applyFont="1" applyBorder="1" applyAlignment="1" applyProtection="1"/>
    <xf numFmtId="0" fontId="51" fillId="0" borderId="92" xfId="0" applyFont="1" applyBorder="1" applyAlignment="1" applyProtection="1">
      <alignment vertical="center"/>
    </xf>
    <xf numFmtId="0" fontId="47" fillId="0" borderId="0" xfId="0" applyFont="1" applyBorder="1" applyAlignment="1" applyProtection="1"/>
    <xf numFmtId="0" fontId="43" fillId="0" borderId="1" xfId="0" applyFont="1" applyBorder="1" applyAlignment="1" applyProtection="1"/>
    <xf numFmtId="0" fontId="43" fillId="0" borderId="0" xfId="0" applyFont="1" applyBorder="1" applyAlignment="1" applyProtection="1"/>
    <xf numFmtId="0" fontId="42" fillId="0" borderId="93" xfId="0" applyFont="1" applyBorder="1" applyAlignment="1" applyProtection="1">
      <alignment vertical="center"/>
    </xf>
    <xf numFmtId="0" fontId="43" fillId="0" borderId="95" xfId="0" applyFont="1" applyBorder="1" applyAlignment="1" applyProtection="1"/>
    <xf numFmtId="0" fontId="43" fillId="0" borderId="101" xfId="0" applyFont="1" applyBorder="1" applyAlignment="1" applyProtection="1"/>
    <xf numFmtId="0" fontId="43" fillId="0" borderId="102" xfId="0" applyFont="1" applyFill="1" applyBorder="1" applyAlignment="1" applyProtection="1"/>
    <xf numFmtId="0" fontId="43" fillId="0" borderId="94" xfId="0" applyFont="1" applyFill="1" applyBorder="1" applyAlignment="1" applyProtection="1"/>
    <xf numFmtId="0" fontId="43" fillId="0" borderId="0" xfId="0" applyFont="1" applyFill="1" applyAlignment="1" applyProtection="1"/>
    <xf numFmtId="0" fontId="43" fillId="0" borderId="97" xfId="0" applyFont="1" applyFill="1" applyBorder="1" applyAlignment="1" applyProtection="1"/>
    <xf numFmtId="0" fontId="43" fillId="0" borderId="36" xfId="0" applyFont="1" applyFill="1" applyBorder="1" applyAlignment="1" applyProtection="1"/>
    <xf numFmtId="0" fontId="42" fillId="0" borderId="93" xfId="0" applyFont="1" applyBorder="1" applyAlignment="1" applyProtection="1"/>
    <xf numFmtId="0" fontId="43" fillId="0" borderId="104" xfId="0" applyFont="1" applyBorder="1" applyAlignment="1" applyProtection="1"/>
    <xf numFmtId="0" fontId="43" fillId="0" borderId="105" xfId="0" applyFont="1" applyBorder="1" applyAlignment="1" applyProtection="1"/>
    <xf numFmtId="0" fontId="43" fillId="0" borderId="0" xfId="0" applyFont="1" applyAlignment="1" applyProtection="1">
      <alignment horizontal="right" wrapText="1"/>
    </xf>
    <xf numFmtId="0" fontId="43" fillId="0" borderId="0" xfId="0" applyFont="1" applyAlignment="1" applyProtection="1">
      <alignment horizontal="center"/>
    </xf>
    <xf numFmtId="0" fontId="43" fillId="0" borderId="0" xfId="0" applyFont="1" applyBorder="1" applyAlignment="1" applyProtection="1">
      <alignment horizontal="center"/>
    </xf>
    <xf numFmtId="0" fontId="43" fillId="0" borderId="0" xfId="0" applyFont="1" applyFill="1" applyBorder="1" applyAlignment="1" applyProtection="1">
      <alignment horizontal="center"/>
    </xf>
    <xf numFmtId="0" fontId="43" fillId="0" borderId="93" xfId="0" applyFont="1" applyBorder="1" applyAlignment="1" applyProtection="1">
      <alignment horizontal="center"/>
    </xf>
    <xf numFmtId="0" fontId="43" fillId="0" borderId="96" xfId="0" applyFont="1" applyBorder="1" applyAlignment="1" applyProtection="1">
      <alignment horizontal="center"/>
    </xf>
    <xf numFmtId="0" fontId="43" fillId="0" borderId="36" xfId="0" applyFont="1" applyBorder="1" applyAlignment="1" applyProtection="1">
      <alignment horizontal="center"/>
    </xf>
    <xf numFmtId="0" fontId="43" fillId="0" borderId="36" xfId="0" applyFont="1" applyBorder="1" applyAlignment="1" applyProtection="1"/>
    <xf numFmtId="0" fontId="5" fillId="0" borderId="0" xfId="0" applyFont="1" applyFill="1" applyBorder="1" applyAlignment="1" applyProtection="1"/>
    <xf numFmtId="0" fontId="0" fillId="0" borderId="0" xfId="0" applyFont="1" applyBorder="1" applyAlignment="1" applyProtection="1">
      <alignment wrapText="1"/>
    </xf>
    <xf numFmtId="0" fontId="0" fillId="0" borderId="0" xfId="0" applyFont="1" applyBorder="1" applyAlignment="1" applyProtection="1">
      <alignment horizontal="center"/>
    </xf>
    <xf numFmtId="0" fontId="43" fillId="0" borderId="0" xfId="0" applyFont="1" applyAlignment="1" applyProtection="1">
      <alignment wrapText="1"/>
    </xf>
    <xf numFmtId="0" fontId="43" fillId="29" borderId="99" xfId="0" applyFont="1" applyFill="1" applyBorder="1" applyAlignment="1" applyProtection="1">
      <protection locked="0"/>
    </xf>
    <xf numFmtId="0" fontId="43" fillId="0" borderId="102" xfId="0" applyFont="1" applyBorder="1" applyAlignment="1" applyProtection="1"/>
    <xf numFmtId="0" fontId="42" fillId="0" borderId="0" xfId="0" applyFont="1" applyBorder="1" applyAlignment="1" applyProtection="1"/>
    <xf numFmtId="37" fontId="46" fillId="0" borderId="98" xfId="0" applyNumberFormat="1" applyFont="1" applyBorder="1" applyAlignment="1" applyProtection="1">
      <alignment horizontal="center" vertical="center"/>
    </xf>
    <xf numFmtId="0" fontId="43" fillId="29" borderId="0" xfId="0" applyFont="1" applyFill="1" applyBorder="1" applyAlignment="1" applyProtection="1">
      <protection locked="0"/>
    </xf>
    <xf numFmtId="0" fontId="43" fillId="0" borderId="98" xfId="0" applyFont="1" applyBorder="1" applyAlignment="1" applyProtection="1"/>
    <xf numFmtId="0" fontId="55" fillId="3" borderId="15" xfId="0" applyFont="1" applyFill="1" applyBorder="1" applyAlignment="1" applyProtection="1">
      <alignment horizontal="center"/>
      <protection locked="0"/>
    </xf>
    <xf numFmtId="0" fontId="12" fillId="3" borderId="16" xfId="0" applyFont="1" applyFill="1" applyBorder="1" applyAlignment="1" applyProtection="1">
      <alignment horizontal="right"/>
      <protection locked="0"/>
    </xf>
    <xf numFmtId="0" fontId="11" fillId="3" borderId="17" xfId="0" applyFont="1" applyFill="1" applyBorder="1" applyAlignment="1" applyProtection="1">
      <alignment horizontal="center"/>
      <protection locked="0"/>
    </xf>
    <xf numFmtId="0" fontId="11" fillId="3" borderId="59" xfId="0" applyFont="1" applyFill="1" applyBorder="1" applyAlignment="1" applyProtection="1">
      <alignment horizontal="right" vertical="center"/>
      <protection locked="0"/>
    </xf>
    <xf numFmtId="0" fontId="11" fillId="3" borderId="15" xfId="0" applyFont="1" applyFill="1" applyBorder="1" applyAlignment="1" applyProtection="1">
      <alignment horizontal="center"/>
      <protection locked="0"/>
    </xf>
    <xf numFmtId="0" fontId="2" fillId="3" borderId="1" xfId="0" applyFont="1" applyFill="1" applyBorder="1"/>
    <xf numFmtId="49" fontId="2" fillId="3" borderId="1" xfId="0" applyNumberFormat="1" applyFont="1" applyFill="1" applyBorder="1"/>
    <xf numFmtId="0" fontId="2" fillId="3" borderId="1" xfId="0" applyFont="1" applyFill="1" applyBorder="1" applyProtection="1">
      <protection locked="0"/>
    </xf>
    <xf numFmtId="0" fontId="55" fillId="3" borderId="17" xfId="0" applyFont="1" applyFill="1" applyBorder="1" applyAlignment="1" applyProtection="1">
      <alignment horizontal="center"/>
      <protection locked="0"/>
    </xf>
    <xf numFmtId="0" fontId="56" fillId="3" borderId="15" xfId="0" applyFont="1" applyFill="1" applyBorder="1" applyAlignment="1" applyProtection="1">
      <alignment horizontal="center"/>
      <protection locked="0"/>
    </xf>
    <xf numFmtId="0" fontId="57" fillId="3" borderId="15" xfId="0" applyFont="1" applyFill="1" applyBorder="1" applyAlignment="1" applyProtection="1">
      <alignment horizontal="center" vertical="center"/>
      <protection locked="0"/>
    </xf>
    <xf numFmtId="0" fontId="57" fillId="3" borderId="22" xfId="0" applyFont="1" applyFill="1" applyBorder="1" applyAlignment="1" applyProtection="1">
      <alignment horizontal="right" vertical="center"/>
      <protection locked="0"/>
    </xf>
    <xf numFmtId="0" fontId="11" fillId="3" borderId="15" xfId="0" applyFont="1" applyFill="1" applyBorder="1" applyAlignment="1" applyProtection="1">
      <alignment horizontal="center" vertical="center"/>
      <protection locked="0"/>
    </xf>
    <xf numFmtId="0" fontId="11" fillId="3" borderId="22" xfId="0" applyFont="1" applyFill="1" applyBorder="1" applyAlignment="1" applyProtection="1">
      <alignment horizontal="right" vertical="center"/>
      <protection locked="0"/>
    </xf>
    <xf numFmtId="0" fontId="2" fillId="3" borderId="58" xfId="0" applyFont="1" applyFill="1" applyBorder="1" applyAlignment="1" applyProtection="1">
      <alignment horizontal="center"/>
      <protection locked="0"/>
    </xf>
    <xf numFmtId="0" fontId="11" fillId="3" borderId="58" xfId="0" applyFont="1" applyFill="1" applyBorder="1" applyAlignment="1" applyProtection="1">
      <alignment horizontal="center" vertical="center"/>
      <protection locked="0"/>
    </xf>
    <xf numFmtId="0" fontId="11" fillId="3" borderId="60" xfId="0" applyFont="1" applyFill="1" applyBorder="1" applyAlignment="1" applyProtection="1">
      <alignment horizontal="right" vertical="center"/>
      <protection locked="0"/>
    </xf>
    <xf numFmtId="0" fontId="55" fillId="3" borderId="24" xfId="0" applyFont="1" applyFill="1" applyBorder="1" applyAlignment="1" applyProtection="1">
      <alignment horizontal="center"/>
      <protection locked="0"/>
    </xf>
    <xf numFmtId="0" fontId="55" fillId="3" borderId="26" xfId="0" applyFont="1" applyFill="1" applyBorder="1" applyAlignment="1" applyProtection="1">
      <alignment horizontal="center"/>
      <protection locked="0"/>
    </xf>
    <xf numFmtId="0" fontId="45" fillId="0" borderId="0" xfId="0" applyFont="1" applyAlignment="1" applyProtection="1">
      <alignment horizontal="left" vertical="center"/>
    </xf>
    <xf numFmtId="0" fontId="0" fillId="0" borderId="0" xfId="0" applyFill="1" applyBorder="1" applyAlignment="1" applyProtection="1">
      <alignment vertical="center"/>
    </xf>
    <xf numFmtId="0" fontId="43" fillId="29" borderId="97" xfId="0" applyFont="1" applyFill="1" applyBorder="1" applyAlignment="1" applyProtection="1"/>
    <xf numFmtId="0" fontId="43" fillId="29" borderId="97" xfId="0" applyFont="1" applyFill="1" applyBorder="1" applyAlignment="1" applyProtection="1">
      <alignment horizontal="center"/>
    </xf>
    <xf numFmtId="0" fontId="46" fillId="27" borderId="15" xfId="0" applyFont="1" applyFill="1" applyBorder="1" applyAlignment="1" applyProtection="1">
      <protection locked="0"/>
    </xf>
    <xf numFmtId="0" fontId="46" fillId="27" borderId="1" xfId="0" applyFont="1" applyFill="1" applyBorder="1" applyAlignment="1" applyProtection="1">
      <alignment wrapText="1"/>
      <protection locked="0"/>
    </xf>
    <xf numFmtId="0" fontId="46" fillId="27" borderId="1" xfId="0" applyFont="1" applyFill="1" applyBorder="1" applyAlignment="1" applyProtection="1">
      <alignment horizontal="center"/>
      <protection locked="0"/>
    </xf>
    <xf numFmtId="37" fontId="46" fillId="27" borderId="1" xfId="0" applyNumberFormat="1" applyFont="1" applyFill="1" applyBorder="1" applyAlignment="1" applyProtection="1">
      <alignment horizontal="center" vertical="center"/>
      <protection locked="0"/>
    </xf>
    <xf numFmtId="14" fontId="0" fillId="0" borderId="0" xfId="0" applyNumberFormat="1" applyAlignment="1" applyProtection="1">
      <alignment horizontal="left"/>
    </xf>
    <xf numFmtId="0" fontId="0" fillId="0" borderId="0" xfId="0" applyNumberFormat="1" applyProtection="1"/>
    <xf numFmtId="0" fontId="4" fillId="0" borderId="0" xfId="0" applyFont="1" applyAlignment="1" applyProtection="1">
      <alignment horizontal="center" wrapText="1"/>
    </xf>
    <xf numFmtId="0" fontId="4" fillId="0" borderId="0" xfId="0" applyFont="1" applyFill="1" applyAlignment="1" applyProtection="1">
      <alignment horizontal="center" wrapText="1"/>
    </xf>
    <xf numFmtId="1" fontId="0" fillId="0" borderId="1" xfId="0" applyNumberFormat="1" applyFill="1" applyBorder="1" applyAlignment="1" applyProtection="1">
      <alignment horizontal="center"/>
    </xf>
    <xf numFmtId="3" fontId="0" fillId="0" borderId="0" xfId="0" applyNumberFormat="1" applyFill="1" applyProtection="1"/>
    <xf numFmtId="3" fontId="0" fillId="0" borderId="0" xfId="0" applyNumberFormat="1" applyAlignment="1" applyProtection="1">
      <alignment horizontal="right"/>
    </xf>
    <xf numFmtId="0" fontId="31" fillId="13" borderId="0" xfId="0" applyFont="1" applyFill="1" applyProtection="1"/>
    <xf numFmtId="1" fontId="31" fillId="13" borderId="1" xfId="0" applyNumberFormat="1" applyFont="1" applyFill="1" applyBorder="1" applyProtection="1"/>
    <xf numFmtId="3" fontId="0" fillId="0" borderId="0" xfId="0" applyNumberFormat="1" applyFill="1" applyAlignment="1" applyProtection="1">
      <alignment horizontal="right"/>
    </xf>
    <xf numFmtId="0" fontId="31" fillId="0" borderId="0" xfId="0" applyFont="1" applyFill="1" applyProtection="1"/>
    <xf numFmtId="1" fontId="31" fillId="0" borderId="0" xfId="0" applyNumberFormat="1" applyFont="1" applyFill="1" applyProtection="1"/>
    <xf numFmtId="1" fontId="31" fillId="11" borderId="0" xfId="0" applyNumberFormat="1" applyFont="1" applyFill="1" applyAlignment="1" applyProtection="1">
      <alignment horizontal="right"/>
    </xf>
    <xf numFmtId="1" fontId="31" fillId="13" borderId="0" xfId="0" applyNumberFormat="1" applyFont="1" applyFill="1" applyAlignment="1" applyProtection="1">
      <alignment horizontal="right"/>
    </xf>
    <xf numFmtId="1" fontId="31" fillId="13" borderId="0" xfId="0" applyNumberFormat="1" applyFont="1" applyFill="1" applyProtection="1"/>
    <xf numFmtId="1" fontId="0" fillId="0" borderId="1" xfId="0" applyNumberFormat="1" applyFill="1" applyBorder="1" applyAlignment="1" applyProtection="1">
      <alignment horizontal="right"/>
    </xf>
    <xf numFmtId="0" fontId="31" fillId="10" borderId="0" xfId="0" applyFont="1" applyFill="1" applyBorder="1" applyProtection="1"/>
    <xf numFmtId="37" fontId="31" fillId="13" borderId="0" xfId="0" applyNumberFormat="1" applyFont="1" applyFill="1" applyProtection="1"/>
    <xf numFmtId="37" fontId="31" fillId="13" borderId="0" xfId="0" applyNumberFormat="1" applyFont="1" applyFill="1" applyAlignment="1" applyProtection="1">
      <alignment horizontal="right"/>
    </xf>
    <xf numFmtId="0" fontId="0" fillId="10" borderId="0" xfId="0" applyFill="1" applyProtection="1"/>
    <xf numFmtId="0" fontId="0" fillId="2" borderId="1" xfId="0" applyFill="1" applyBorder="1" applyProtection="1"/>
    <xf numFmtId="0" fontId="0" fillId="2" borderId="1" xfId="0" applyFill="1" applyBorder="1" applyAlignment="1" applyProtection="1">
      <alignment horizontal="center"/>
    </xf>
    <xf numFmtId="0" fontId="0" fillId="2" borderId="36" xfId="0" applyFill="1" applyBorder="1" applyAlignment="1" applyProtection="1">
      <alignment horizontal="right"/>
    </xf>
    <xf numFmtId="3" fontId="0" fillId="0" borderId="0" xfId="0" applyNumberFormat="1" applyFill="1" applyBorder="1" applyAlignment="1" applyProtection="1">
      <alignment horizontal="right"/>
    </xf>
    <xf numFmtId="0" fontId="0" fillId="0" borderId="0" xfId="0" applyAlignment="1" applyProtection="1"/>
    <xf numFmtId="0" fontId="0" fillId="0" borderId="0" xfId="0" applyBorder="1" applyAlignment="1" applyProtection="1">
      <alignment horizontal="left" wrapText="1"/>
    </xf>
    <xf numFmtId="0" fontId="0" fillId="0" borderId="0" xfId="0" applyFill="1" applyAlignment="1" applyProtection="1">
      <alignment horizontal="center"/>
      <protection locked="0"/>
    </xf>
    <xf numFmtId="0" fontId="0" fillId="0" borderId="0" xfId="0" applyAlignment="1" applyProtection="1">
      <alignment horizontal="center"/>
      <protection locked="0"/>
    </xf>
    <xf numFmtId="3" fontId="6" fillId="0" borderId="2" xfId="0" applyNumberFormat="1" applyFont="1" applyBorder="1" applyProtection="1">
      <protection locked="0"/>
    </xf>
    <xf numFmtId="14" fontId="0" fillId="0" borderId="1" xfId="0" applyNumberFormat="1" applyFill="1" applyBorder="1" applyAlignment="1" applyProtection="1">
      <alignment horizontal="left"/>
    </xf>
    <xf numFmtId="14" fontId="0" fillId="0" borderId="0" xfId="0" applyNumberFormat="1" applyFill="1" applyBorder="1" applyAlignment="1" applyProtection="1">
      <alignment horizontal="center"/>
    </xf>
    <xf numFmtId="0" fontId="0" fillId="0" borderId="0" xfId="0" applyFill="1" applyBorder="1" applyAlignment="1" applyProtection="1">
      <alignment horizontal="center"/>
    </xf>
    <xf numFmtId="0" fontId="0" fillId="0" borderId="0" xfId="0" applyAlignment="1" applyProtection="1">
      <alignment horizontal="center" wrapText="1"/>
    </xf>
    <xf numFmtId="164" fontId="0" fillId="0" borderId="0" xfId="0" applyNumberFormat="1" applyProtection="1"/>
    <xf numFmtId="0" fontId="9" fillId="0" borderId="0" xfId="0" applyNumberFormat="1" applyFont="1" applyProtection="1"/>
    <xf numFmtId="164" fontId="0" fillId="0" borderId="0" xfId="0" applyNumberFormat="1" applyAlignment="1" applyProtection="1">
      <alignment horizontal="center"/>
      <protection locked="0"/>
    </xf>
    <xf numFmtId="164" fontId="0" fillId="0" borderId="0" xfId="0" applyNumberFormat="1" applyFill="1" applyAlignment="1" applyProtection="1">
      <alignment horizontal="center"/>
      <protection locked="0"/>
    </xf>
    <xf numFmtId="3" fontId="0" fillId="0" borderId="1" xfId="0" applyNumberFormat="1" applyFill="1" applyBorder="1" applyProtection="1">
      <protection locked="0"/>
    </xf>
    <xf numFmtId="164" fontId="0" fillId="12" borderId="0" xfId="0" applyNumberFormat="1" applyFill="1" applyAlignment="1" applyProtection="1">
      <alignment horizontal="center"/>
      <protection locked="0"/>
    </xf>
    <xf numFmtId="3" fontId="0" fillId="0" borderId="1" xfId="0" applyNumberFormat="1" applyFill="1" applyBorder="1" applyAlignment="1" applyProtection="1">
      <alignment horizontal="right"/>
      <protection locked="0"/>
    </xf>
    <xf numFmtId="0" fontId="58" fillId="0" borderId="0" xfId="0" applyFont="1" applyBorder="1" applyAlignment="1" applyProtection="1">
      <alignment horizontal="left"/>
    </xf>
    <xf numFmtId="0" fontId="58" fillId="0" borderId="0" xfId="0" applyFont="1" applyFill="1" applyBorder="1" applyAlignment="1" applyProtection="1">
      <alignment horizontal="left"/>
    </xf>
    <xf numFmtId="164" fontId="22" fillId="0" borderId="28" xfId="1" applyNumberFormat="1" applyFont="1" applyBorder="1" applyAlignment="1">
      <alignment horizontal="center"/>
    </xf>
    <xf numFmtId="7" fontId="22" fillId="0" borderId="82" xfId="1" applyNumberFormat="1" applyFont="1" applyBorder="1" applyAlignment="1">
      <alignment horizontal="center"/>
    </xf>
    <xf numFmtId="3" fontId="0" fillId="3" borderId="16" xfId="0" applyNumberFormat="1" applyFill="1" applyBorder="1" applyAlignment="1" applyProtection="1">
      <alignment horizontal="right"/>
      <protection locked="0"/>
    </xf>
    <xf numFmtId="3" fontId="12" fillId="3" borderId="16" xfId="0" applyNumberFormat="1" applyFont="1" applyFill="1" applyBorder="1" applyAlignment="1" applyProtection="1">
      <alignment horizontal="right"/>
      <protection locked="0"/>
    </xf>
    <xf numFmtId="3" fontId="0" fillId="3" borderId="1" xfId="0" applyNumberFormat="1" applyFill="1" applyBorder="1"/>
    <xf numFmtId="0" fontId="0" fillId="3" borderId="37" xfId="0" applyFill="1" applyBorder="1" applyAlignment="1" applyProtection="1">
      <protection locked="0"/>
    </xf>
    <xf numFmtId="0" fontId="0" fillId="3" borderId="84" xfId="0" applyFill="1" applyBorder="1" applyAlignment="1" applyProtection="1">
      <protection locked="0"/>
    </xf>
    <xf numFmtId="0" fontId="0" fillId="3" borderId="64" xfId="0" applyFill="1" applyBorder="1" applyAlignment="1" applyProtection="1">
      <protection locked="0"/>
    </xf>
    <xf numFmtId="0" fontId="0" fillId="3" borderId="43" xfId="0" applyFill="1" applyBorder="1" applyAlignment="1" applyProtection="1">
      <protection locked="0"/>
    </xf>
    <xf numFmtId="0" fontId="10" fillId="0" borderId="85" xfId="0" applyFont="1" applyFill="1" applyBorder="1" applyAlignment="1" applyProtection="1">
      <alignment horizontal="center" vertical="center"/>
    </xf>
    <xf numFmtId="0" fontId="0" fillId="0" borderId="86" xfId="0"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6" xfId="0"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4" fillId="0" borderId="85" xfId="0" applyFont="1" applyFill="1" applyBorder="1" applyAlignment="1" applyProtection="1">
      <alignment horizontal="center" wrapText="1"/>
    </xf>
    <xf numFmtId="0" fontId="4" fillId="0" borderId="86" xfId="0" applyFont="1" applyFill="1" applyBorder="1" applyAlignment="1" applyProtection="1">
      <alignment horizontal="center" wrapText="1"/>
    </xf>
    <xf numFmtId="0" fontId="4" fillId="7" borderId="64" xfId="0" applyFont="1" applyFill="1" applyBorder="1" applyAlignment="1" applyProtection="1">
      <alignment horizontal="center" vertical="center"/>
    </xf>
    <xf numFmtId="0" fontId="4" fillId="7" borderId="65" xfId="0" applyFont="1" applyFill="1" applyBorder="1" applyAlignment="1" applyProtection="1">
      <alignment horizontal="center" vertical="center"/>
    </xf>
    <xf numFmtId="0" fontId="4" fillId="0" borderId="64" xfId="0" applyFont="1" applyFill="1" applyBorder="1" applyAlignment="1" applyProtection="1">
      <alignment horizontal="center" vertical="center" wrapText="1"/>
    </xf>
    <xf numFmtId="0" fontId="4" fillId="0" borderId="87" xfId="0" applyFont="1" applyFill="1" applyBorder="1" applyAlignment="1" applyProtection="1">
      <alignment horizontal="center" vertical="center" wrapText="1"/>
    </xf>
    <xf numFmtId="0" fontId="4" fillId="8" borderId="85" xfId="0" applyFont="1" applyFill="1" applyBorder="1" applyAlignment="1" applyProtection="1">
      <alignment horizontal="center" wrapText="1"/>
    </xf>
    <xf numFmtId="0" fontId="4" fillId="8" borderId="86" xfId="0" applyFont="1" applyFill="1" applyBorder="1" applyAlignment="1" applyProtection="1">
      <alignment horizontal="center" wrapText="1"/>
    </xf>
    <xf numFmtId="0" fontId="2" fillId="3" borderId="22" xfId="0" applyNumberFormat="1" applyFont="1" applyFill="1" applyBorder="1" applyAlignment="1" applyProtection="1">
      <protection locked="0"/>
    </xf>
    <xf numFmtId="0" fontId="0" fillId="3" borderId="15" xfId="0" applyNumberFormat="1" applyFill="1" applyBorder="1" applyAlignment="1" applyProtection="1">
      <protection locked="0"/>
    </xf>
    <xf numFmtId="0" fontId="4" fillId="0" borderId="6" xfId="0" applyFont="1" applyFill="1" applyBorder="1" applyAlignment="1" applyProtection="1">
      <alignment horizontal="center" wrapText="1"/>
    </xf>
    <xf numFmtId="0" fontId="0" fillId="0" borderId="43" xfId="0" applyFill="1" applyBorder="1" applyAlignment="1" applyProtection="1">
      <alignment horizontal="center" wrapText="1"/>
    </xf>
    <xf numFmtId="0" fontId="4" fillId="0" borderId="87" xfId="0" applyFont="1" applyFill="1" applyBorder="1" applyAlignment="1" applyProtection="1">
      <alignment horizontal="center" wrapText="1"/>
    </xf>
    <xf numFmtId="0" fontId="0" fillId="0" borderId="65" xfId="0" applyFill="1" applyBorder="1" applyAlignment="1" applyProtection="1">
      <alignment horizontal="center" wrapText="1"/>
    </xf>
    <xf numFmtId="0" fontId="2" fillId="5" borderId="37" xfId="0" applyFont="1" applyFill="1" applyBorder="1" applyAlignment="1" applyProtection="1"/>
    <xf numFmtId="0" fontId="2" fillId="5" borderId="84" xfId="0" applyFont="1" applyFill="1" applyBorder="1" applyAlignment="1" applyProtection="1"/>
    <xf numFmtId="0" fontId="9" fillId="11" borderId="0" xfId="0" applyFont="1" applyFill="1" applyAlignment="1" applyProtection="1">
      <alignment horizontal="center"/>
    </xf>
    <xf numFmtId="0" fontId="0" fillId="0" borderId="37" xfId="0" applyFill="1" applyBorder="1" applyAlignment="1" applyProtection="1"/>
    <xf numFmtId="0" fontId="0" fillId="0" borderId="84" xfId="0" applyFill="1" applyBorder="1" applyAlignment="1" applyProtection="1"/>
    <xf numFmtId="0" fontId="45" fillId="0" borderId="0" xfId="0" applyFont="1" applyAlignment="1" applyProtection="1">
      <alignment horizontal="left" vertical="center"/>
    </xf>
    <xf numFmtId="0" fontId="10" fillId="0" borderId="88" xfId="0" applyFont="1" applyFill="1" applyBorder="1" applyAlignment="1" applyProtection="1">
      <alignment vertical="center"/>
    </xf>
    <xf numFmtId="0" fontId="0" fillId="0" borderId="89" xfId="0" applyFill="1" applyBorder="1" applyAlignment="1" applyProtection="1">
      <alignment vertical="center"/>
    </xf>
    <xf numFmtId="0" fontId="0" fillId="0" borderId="0" xfId="0" applyFill="1" applyBorder="1" applyAlignment="1" applyProtection="1">
      <alignment vertical="center"/>
    </xf>
    <xf numFmtId="0" fontId="4" fillId="0" borderId="6"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4" fillId="0" borderId="90" xfId="0" applyFont="1" applyFill="1" applyBorder="1" applyAlignment="1" applyProtection="1">
      <alignment horizontal="center" wrapText="1"/>
    </xf>
    <xf numFmtId="0" fontId="4" fillId="0" borderId="91" xfId="0" applyFont="1" applyFill="1" applyBorder="1" applyAlignment="1" applyProtection="1">
      <alignment horizontal="center" wrapText="1"/>
    </xf>
    <xf numFmtId="0" fontId="4" fillId="0" borderId="46" xfId="0" applyFont="1" applyFill="1" applyBorder="1" applyAlignment="1" applyProtection="1">
      <alignment horizontal="center" wrapText="1"/>
    </xf>
    <xf numFmtId="0" fontId="0" fillId="0" borderId="0" xfId="0" applyFill="1" applyBorder="1" applyAlignment="1" applyProtection="1">
      <alignment horizontal="center" wrapText="1"/>
    </xf>
    <xf numFmtId="0" fontId="0" fillId="0" borderId="0" xfId="0" applyAlignment="1" applyProtection="1">
      <alignment horizontal="center"/>
    </xf>
    <xf numFmtId="0" fontId="0" fillId="0" borderId="4" xfId="0" applyBorder="1" applyAlignment="1" applyProtection="1">
      <alignment horizontal="left" wrapText="1"/>
    </xf>
    <xf numFmtId="0" fontId="0" fillId="0" borderId="0" xfId="0" applyAlignment="1" applyProtection="1">
      <alignment horizontal="left" wrapText="1"/>
    </xf>
    <xf numFmtId="0" fontId="0" fillId="0" borderId="83" xfId="0" applyBorder="1" applyAlignment="1" applyProtection="1">
      <alignment horizontal="left" wrapText="1"/>
    </xf>
    <xf numFmtId="0" fontId="0" fillId="0" borderId="12" xfId="0" applyBorder="1" applyAlignment="1" applyProtection="1">
      <alignment horizontal="left" wrapText="1"/>
    </xf>
    <xf numFmtId="0" fontId="0" fillId="0" borderId="47" xfId="0" applyBorder="1" applyAlignment="1" applyProtection="1">
      <alignment horizontal="left" wrapText="1"/>
    </xf>
    <xf numFmtId="0" fontId="0" fillId="0" borderId="10" xfId="0" applyBorder="1" applyAlignment="1" applyProtection="1">
      <alignment horizontal="left" wrapText="1"/>
    </xf>
    <xf numFmtId="0" fontId="33" fillId="0" borderId="22" xfId="0" applyFont="1" applyFill="1" applyBorder="1" applyAlignment="1" applyProtection="1">
      <alignment vertical="center"/>
    </xf>
    <xf numFmtId="0" fontId="33" fillId="0" borderId="18" xfId="0" applyFont="1" applyFill="1" applyBorder="1" applyAlignment="1" applyProtection="1">
      <alignment vertical="center"/>
    </xf>
    <xf numFmtId="0" fontId="33" fillId="0" borderId="0" xfId="0" applyFont="1" applyFill="1" applyBorder="1" applyAlignment="1" applyProtection="1">
      <alignment vertical="center"/>
    </xf>
    <xf numFmtId="0" fontId="8" fillId="0" borderId="88" xfId="0" applyFont="1" applyFill="1" applyBorder="1" applyAlignment="1" applyProtection="1">
      <alignment vertical="center"/>
    </xf>
    <xf numFmtId="0" fontId="8" fillId="0" borderId="22" xfId="0" applyFont="1" applyFill="1" applyBorder="1" applyAlignment="1" applyProtection="1">
      <alignment vertical="center"/>
    </xf>
    <xf numFmtId="0" fontId="0" fillId="0" borderId="18" xfId="0" applyFill="1" applyBorder="1" applyAlignment="1" applyProtection="1">
      <alignment vertical="center"/>
    </xf>
    <xf numFmtId="0" fontId="33" fillId="0" borderId="12" xfId="0" applyFont="1" applyFill="1" applyBorder="1" applyAlignment="1" applyProtection="1">
      <alignment vertical="center"/>
    </xf>
    <xf numFmtId="0" fontId="33" fillId="0" borderId="47" xfId="0" applyFont="1" applyFill="1" applyBorder="1" applyAlignment="1" applyProtection="1">
      <alignment vertical="center"/>
    </xf>
    <xf numFmtId="0" fontId="34" fillId="0" borderId="0" xfId="0" applyFont="1" applyFill="1" applyBorder="1" applyAlignment="1" applyProtection="1">
      <alignment horizontal="center" vertical="center"/>
    </xf>
    <xf numFmtId="0" fontId="0" fillId="0" borderId="0" xfId="0" applyFill="1" applyBorder="1" applyAlignment="1">
      <alignment horizontal="center" vertical="center"/>
    </xf>
    <xf numFmtId="164" fontId="19" fillId="0" borderId="72" xfId="0" applyNumberFormat="1" applyFont="1" applyBorder="1" applyAlignment="1">
      <alignment horizontal="center"/>
    </xf>
    <xf numFmtId="0" fontId="4" fillId="11" borderId="0" xfId="0" applyFont="1" applyFill="1" applyAlignment="1"/>
    <xf numFmtId="0" fontId="4" fillId="0" borderId="0" xfId="0" applyFont="1" applyAlignment="1"/>
    <xf numFmtId="0" fontId="0" fillId="0" borderId="0" xfId="0" applyAlignment="1"/>
    <xf numFmtId="0" fontId="0" fillId="0" borderId="18" xfId="0" applyBorder="1" applyAlignment="1"/>
    <xf numFmtId="0" fontId="4" fillId="0" borderId="22" xfId="0" applyFont="1" applyBorder="1" applyAlignment="1"/>
    <xf numFmtId="0" fontId="0" fillId="0" borderId="15" xfId="0" applyBorder="1" applyAlignment="1"/>
    <xf numFmtId="0" fontId="0" fillId="0" borderId="22" xfId="0" applyBorder="1" applyAlignment="1"/>
    <xf numFmtId="0" fontId="12" fillId="8" borderId="0" xfId="0" applyNumberFormat="1" applyFont="1" applyFill="1" applyAlignment="1" applyProtection="1">
      <alignment horizontal="left" vertical="center" wrapText="1"/>
    </xf>
  </cellXfs>
  <cellStyles count="89">
    <cellStyle name="Currency" xfId="1" builtinId="4"/>
    <cellStyle name="Currency 2" xfId="2" xr:uid="{00000000-0005-0000-0000-000001000000}"/>
    <cellStyle name="Currency 2 2" xfId="3" xr:uid="{00000000-0005-0000-0000-000002000000}"/>
    <cellStyle name="Currency 2 2 2" xfId="4" xr:uid="{00000000-0005-0000-0000-000003000000}"/>
    <cellStyle name="Currency 2 2 2 2" xfId="5" xr:uid="{00000000-0005-0000-0000-000004000000}"/>
    <cellStyle name="Currency 2 2 2 2 2" xfId="76" xr:uid="{00000000-0005-0000-0000-000005000000}"/>
    <cellStyle name="Currency 2 2 2 3" xfId="47" xr:uid="{00000000-0005-0000-0000-000006000000}"/>
    <cellStyle name="Currency 2 2 3" xfId="6" xr:uid="{00000000-0005-0000-0000-000007000000}"/>
    <cellStyle name="Currency 2 2 3 2" xfId="73" xr:uid="{00000000-0005-0000-0000-000008000000}"/>
    <cellStyle name="Currency 2 2 4" xfId="46" xr:uid="{00000000-0005-0000-0000-000009000000}"/>
    <cellStyle name="Currency 2 3" xfId="7" xr:uid="{00000000-0005-0000-0000-00000A000000}"/>
    <cellStyle name="Currency 2 3 2" xfId="8" xr:uid="{00000000-0005-0000-0000-00000B000000}"/>
    <cellStyle name="Currency 2 3 2 2" xfId="67" xr:uid="{00000000-0005-0000-0000-00000C000000}"/>
    <cellStyle name="Currency 2 3 3" xfId="48" xr:uid="{00000000-0005-0000-0000-00000D000000}"/>
    <cellStyle name="Currency 2 4" xfId="9" xr:uid="{00000000-0005-0000-0000-00000E000000}"/>
    <cellStyle name="Currency 2 4 2" xfId="84" xr:uid="{00000000-0005-0000-0000-00000F000000}"/>
    <cellStyle name="Currency 2 4 3" xfId="63" xr:uid="{00000000-0005-0000-0000-000010000000}"/>
    <cellStyle name="Currency 2 5" xfId="45" xr:uid="{00000000-0005-0000-0000-000011000000}"/>
    <cellStyle name="Currency 3" xfId="10" xr:uid="{00000000-0005-0000-0000-000012000000}"/>
    <cellStyle name="Currency 3 2" xfId="11" xr:uid="{00000000-0005-0000-0000-000013000000}"/>
    <cellStyle name="Currency 3 2 2" xfId="66" xr:uid="{00000000-0005-0000-0000-000014000000}"/>
    <cellStyle name="Currency 3 3" xfId="49" xr:uid="{00000000-0005-0000-0000-000015000000}"/>
    <cellStyle name="Currency 4" xfId="12" xr:uid="{00000000-0005-0000-0000-000016000000}"/>
    <cellStyle name="Currency 4 2" xfId="78" xr:uid="{00000000-0005-0000-0000-000017000000}"/>
    <cellStyle name="Currency 5" xfId="13" xr:uid="{00000000-0005-0000-0000-000018000000}"/>
    <cellStyle name="Currency 5 2" xfId="88" xr:uid="{00000000-0005-0000-0000-000019000000}"/>
    <cellStyle name="Currency 6" xfId="14" xr:uid="{00000000-0005-0000-0000-00001A000000}"/>
    <cellStyle name="Normal" xfId="0" builtinId="0"/>
    <cellStyle name="Normal 2" xfId="15" xr:uid="{00000000-0005-0000-0000-00001C000000}"/>
    <cellStyle name="Normal 2 2" xfId="16" xr:uid="{00000000-0005-0000-0000-00001D000000}"/>
    <cellStyle name="Normal 2 2 2" xfId="17" xr:uid="{00000000-0005-0000-0000-00001E000000}"/>
    <cellStyle name="Normal 2 2 2 2" xfId="18" xr:uid="{00000000-0005-0000-0000-00001F000000}"/>
    <cellStyle name="Normal 2 2 2 2 2" xfId="75" xr:uid="{00000000-0005-0000-0000-000020000000}"/>
    <cellStyle name="Normal 2 2 2 3" xfId="52" xr:uid="{00000000-0005-0000-0000-000021000000}"/>
    <cellStyle name="Normal 2 2 3" xfId="19" xr:uid="{00000000-0005-0000-0000-000022000000}"/>
    <cellStyle name="Normal 2 2 3 2" xfId="72" xr:uid="{00000000-0005-0000-0000-000023000000}"/>
    <cellStyle name="Normal 2 2 4" xfId="51" xr:uid="{00000000-0005-0000-0000-000024000000}"/>
    <cellStyle name="Normal 2 3" xfId="20" xr:uid="{00000000-0005-0000-0000-000025000000}"/>
    <cellStyle name="Normal 2 3 2" xfId="21" xr:uid="{00000000-0005-0000-0000-000026000000}"/>
    <cellStyle name="Normal 2 3 2 2" xfId="86" xr:uid="{00000000-0005-0000-0000-000027000000}"/>
    <cellStyle name="Normal 2 3 2 3" xfId="68" xr:uid="{00000000-0005-0000-0000-000028000000}"/>
    <cellStyle name="Normal 2 3 3" xfId="81" xr:uid="{00000000-0005-0000-0000-000029000000}"/>
    <cellStyle name="Normal 2 3 4" xfId="53" xr:uid="{00000000-0005-0000-0000-00002A000000}"/>
    <cellStyle name="Normal 2 4" xfId="22" xr:uid="{00000000-0005-0000-0000-00002B000000}"/>
    <cellStyle name="Normal 2 4 2" xfId="83" xr:uid="{00000000-0005-0000-0000-00002C000000}"/>
    <cellStyle name="Normal 2 4 3" xfId="62" xr:uid="{00000000-0005-0000-0000-00002D000000}"/>
    <cellStyle name="Normal 2 5" xfId="80" xr:uid="{00000000-0005-0000-0000-00002E000000}"/>
    <cellStyle name="Normal 2 6" xfId="50" xr:uid="{00000000-0005-0000-0000-00002F000000}"/>
    <cellStyle name="Normal 3" xfId="23" xr:uid="{00000000-0005-0000-0000-000030000000}"/>
    <cellStyle name="Normal 3 2" xfId="24" xr:uid="{00000000-0005-0000-0000-000031000000}"/>
    <cellStyle name="Normal 3 2 2" xfId="69" xr:uid="{00000000-0005-0000-0000-000032000000}"/>
    <cellStyle name="Normal 3 3" xfId="54" xr:uid="{00000000-0005-0000-0000-000033000000}"/>
    <cellStyle name="Normal 4" xfId="25" xr:uid="{00000000-0005-0000-0000-000034000000}"/>
    <cellStyle name="Normal 4 2" xfId="26" xr:uid="{00000000-0005-0000-0000-000035000000}"/>
    <cellStyle name="Normal 4 2 2" xfId="65" xr:uid="{00000000-0005-0000-0000-000036000000}"/>
    <cellStyle name="Normal 4 3" xfId="55" xr:uid="{00000000-0005-0000-0000-000037000000}"/>
    <cellStyle name="Normal 5" xfId="27" xr:uid="{00000000-0005-0000-0000-000038000000}"/>
    <cellStyle name="Normal 5 2" xfId="82" xr:uid="{00000000-0005-0000-0000-000039000000}"/>
    <cellStyle name="Normal 5 3" xfId="61" xr:uid="{00000000-0005-0000-0000-00003A000000}"/>
    <cellStyle name="Normal 6" xfId="28" xr:uid="{00000000-0005-0000-0000-00003B000000}"/>
    <cellStyle name="Normal 6 2" xfId="87" xr:uid="{00000000-0005-0000-0000-00003C000000}"/>
    <cellStyle name="Normal_District_Summary_Report(1)" xfId="29" xr:uid="{00000000-0005-0000-0000-00003D000000}"/>
    <cellStyle name="Percent 2" xfId="30" xr:uid="{00000000-0005-0000-0000-00003E000000}"/>
    <cellStyle name="Percent 2 2" xfId="31" xr:uid="{00000000-0005-0000-0000-00003F000000}"/>
    <cellStyle name="Percent 2 2 2" xfId="32" xr:uid="{00000000-0005-0000-0000-000040000000}"/>
    <cellStyle name="Percent 2 2 2 2" xfId="33" xr:uid="{00000000-0005-0000-0000-000041000000}"/>
    <cellStyle name="Percent 2 2 2 2 2" xfId="77" xr:uid="{00000000-0005-0000-0000-000042000000}"/>
    <cellStyle name="Percent 2 2 2 3" xfId="58" xr:uid="{00000000-0005-0000-0000-000043000000}"/>
    <cellStyle name="Percent 2 2 3" xfId="34" xr:uid="{00000000-0005-0000-0000-000044000000}"/>
    <cellStyle name="Percent 2 2 3 2" xfId="74" xr:uid="{00000000-0005-0000-0000-000045000000}"/>
    <cellStyle name="Percent 2 2 4" xfId="57" xr:uid="{00000000-0005-0000-0000-000046000000}"/>
    <cellStyle name="Percent 2 3" xfId="35" xr:uid="{00000000-0005-0000-0000-000047000000}"/>
    <cellStyle name="Percent 2 4" xfId="36" xr:uid="{00000000-0005-0000-0000-000048000000}"/>
    <cellStyle name="Percent 2 4 2" xfId="85" xr:uid="{00000000-0005-0000-0000-000049000000}"/>
    <cellStyle name="Percent 2 4 3" xfId="64" xr:uid="{00000000-0005-0000-0000-00004A000000}"/>
    <cellStyle name="Percent 3" xfId="37" xr:uid="{00000000-0005-0000-0000-00004B000000}"/>
    <cellStyle name="Percent 4" xfId="38" xr:uid="{00000000-0005-0000-0000-00004C000000}"/>
    <cellStyle name="Percent 5" xfId="39" xr:uid="{00000000-0005-0000-0000-00004D000000}"/>
    <cellStyle name="Percent 5 2" xfId="40" xr:uid="{00000000-0005-0000-0000-00004E000000}"/>
    <cellStyle name="Percent 5 2 2" xfId="71" xr:uid="{00000000-0005-0000-0000-00004F000000}"/>
    <cellStyle name="Percent 5 3" xfId="59" xr:uid="{00000000-0005-0000-0000-000050000000}"/>
    <cellStyle name="Percent 6" xfId="41" xr:uid="{00000000-0005-0000-0000-000051000000}"/>
    <cellStyle name="Percent 6 2" xfId="42" xr:uid="{00000000-0005-0000-0000-000052000000}"/>
    <cellStyle name="Percent 6 2 2" xfId="70" xr:uid="{00000000-0005-0000-0000-000053000000}"/>
    <cellStyle name="Percent 6 3" xfId="60" xr:uid="{00000000-0005-0000-0000-000054000000}"/>
    <cellStyle name="Percent 7" xfId="43" xr:uid="{00000000-0005-0000-0000-000055000000}"/>
    <cellStyle name="Percent 7 2" xfId="79" xr:uid="{00000000-0005-0000-0000-000056000000}"/>
    <cellStyle name="Percent 8" xfId="44" xr:uid="{00000000-0005-0000-0000-000057000000}"/>
    <cellStyle name="Percent 9" xfId="56" xr:uid="{00000000-0005-0000-0000-000058000000}"/>
  </cellStyles>
  <dxfs count="7">
    <dxf>
      <font>
        <color theme="1"/>
      </font>
      <fill>
        <patternFill patternType="solid">
          <fgColor rgb="FFCCFFFF"/>
          <bgColor rgb="FFCCFFFF"/>
        </patternFill>
      </fill>
      <alignment horizontal="general" vertical="bottom" textRotation="0" wrapText="0" indent="0" justifyLastLine="0" shrinkToFit="0" readingOrder="0"/>
      <protection locked="0" hidden="0"/>
    </dxf>
    <dxf>
      <protection locked="0" hidden="0"/>
    </dxf>
    <dxf>
      <border outline="0">
        <left style="thin">
          <color indexed="64"/>
        </left>
        <right style="thin">
          <color indexed="64"/>
        </right>
        <top style="thin">
          <color indexed="64"/>
        </top>
        <bottom style="thin">
          <color indexed="64"/>
        </bottom>
      </border>
    </dxf>
    <dxf>
      <font>
        <color theme="1"/>
      </font>
      <fill>
        <patternFill patternType="solid">
          <fgColor rgb="FFCCFFFF"/>
          <bgColor rgb="FFCCFFFF"/>
        </patternFill>
      </fill>
      <alignment horizontal="general" vertical="bottom" textRotation="0" wrapText="0" indent="0" justifyLastLine="0" shrinkToFit="0" readingOrder="0"/>
      <protection locked="0" hidden="0"/>
    </dxf>
    <dxf>
      <protection locked="0" hidden="0"/>
    </dxf>
    <dxf>
      <fill>
        <patternFill patternType="solid">
          <fgColor rgb="FFE0F7FA"/>
          <bgColor rgb="FFE0F7FA"/>
        </patternFill>
      </fill>
    </dxf>
    <dxf>
      <fill>
        <patternFill patternType="solid">
          <fgColor rgb="FFFFFFFF"/>
          <bgColor rgb="FFFFFFFF"/>
        </patternFill>
      </fill>
    </dxf>
  </dxfs>
  <tableStyles count="1" defaultTableStyle="TableStyleMedium2" defaultPivotStyle="PivotStyleLight16">
    <tableStyle name="Career Education-style" pivot="0" count="2" xr9:uid="{00000000-0011-0000-FFFF-FFFF00000000}">
      <tableStyleElement type="firstRowStripe" dxfId="6"/>
      <tableStyleElement type="secondRowStripe" dxfId="5"/>
    </tableStyle>
  </tableStyles>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116</xdr:row>
      <xdr:rowOff>0</xdr:rowOff>
    </xdr:from>
    <xdr:to>
      <xdr:col>4</xdr:col>
      <xdr:colOff>0</xdr:colOff>
      <xdr:row>116</xdr:row>
      <xdr:rowOff>0</xdr:rowOff>
    </xdr:to>
    <xdr:sp macro="" textlink="">
      <xdr:nvSpPr>
        <xdr:cNvPr id="38065" name="Line 1">
          <a:extLst>
            <a:ext uri="{FF2B5EF4-FFF2-40B4-BE49-F238E27FC236}">
              <a16:creationId xmlns:a16="http://schemas.microsoft.com/office/drawing/2014/main" id="{00000000-0008-0000-0200-0000B1940000}"/>
            </a:ext>
          </a:extLst>
        </xdr:cNvPr>
        <xdr:cNvSpPr>
          <a:spLocks noChangeShapeType="1"/>
        </xdr:cNvSpPr>
      </xdr:nvSpPr>
      <xdr:spPr bwMode="auto">
        <a:xfrm flipH="1">
          <a:off x="76200" y="18869025"/>
          <a:ext cx="4286250" cy="0"/>
        </a:xfrm>
        <a:prstGeom prst="line">
          <a:avLst/>
        </a:prstGeom>
        <a:noFill/>
        <a:ln w="19050">
          <a:solidFill>
            <a:srgbClr val="000000"/>
          </a:solidFill>
          <a:round/>
          <a:headEnd/>
          <a:tailEnd type="diamond" w="med" len="med"/>
        </a:ln>
        <a:extLst>
          <a:ext uri="{909E8E84-426E-40DD-AFC4-6F175D3DCCD1}">
            <a14:hiddenFill xmlns:a14="http://schemas.microsoft.com/office/drawing/2010/main">
              <a:noFill/>
            </a14:hiddenFill>
          </a:ext>
        </a:extLst>
      </xdr:spPr>
    </xdr:sp>
    <xdr:clientData/>
  </xdr:twoCellAnchor>
  <xdr:twoCellAnchor>
    <xdr:from>
      <xdr:col>0</xdr:col>
      <xdr:colOff>85725</xdr:colOff>
      <xdr:row>116</xdr:row>
      <xdr:rowOff>0</xdr:rowOff>
    </xdr:from>
    <xdr:to>
      <xdr:col>4</xdr:col>
      <xdr:colOff>0</xdr:colOff>
      <xdr:row>116</xdr:row>
      <xdr:rowOff>0</xdr:rowOff>
    </xdr:to>
    <xdr:sp macro="" textlink="">
      <xdr:nvSpPr>
        <xdr:cNvPr id="38066" name="Line 2">
          <a:extLst>
            <a:ext uri="{FF2B5EF4-FFF2-40B4-BE49-F238E27FC236}">
              <a16:creationId xmlns:a16="http://schemas.microsoft.com/office/drawing/2014/main" id="{00000000-0008-0000-0200-0000B2940000}"/>
            </a:ext>
          </a:extLst>
        </xdr:cNvPr>
        <xdr:cNvSpPr>
          <a:spLocks noChangeShapeType="1"/>
        </xdr:cNvSpPr>
      </xdr:nvSpPr>
      <xdr:spPr bwMode="auto">
        <a:xfrm flipH="1">
          <a:off x="85725" y="18869025"/>
          <a:ext cx="4276725" cy="0"/>
        </a:xfrm>
        <a:prstGeom prst="line">
          <a:avLst/>
        </a:prstGeom>
        <a:noFill/>
        <a:ln w="19050">
          <a:solidFill>
            <a:srgbClr val="000000"/>
          </a:solidFill>
          <a:round/>
          <a:headEnd/>
          <a:tailEnd type="diamond" w="med" len="med"/>
        </a:ln>
        <a:extLst>
          <a:ext uri="{909E8E84-426E-40DD-AFC4-6F175D3DCCD1}">
            <a14:hiddenFill xmlns:a14="http://schemas.microsoft.com/office/drawing/2010/main">
              <a:noFill/>
            </a14:hiddenFill>
          </a:ext>
        </a:extLst>
      </xdr:spPr>
    </xdr:sp>
    <xdr:clientData/>
  </xdr:twoCellAnchor>
  <xdr:twoCellAnchor>
    <xdr:from>
      <xdr:col>0</xdr:col>
      <xdr:colOff>76200</xdr:colOff>
      <xdr:row>116</xdr:row>
      <xdr:rowOff>0</xdr:rowOff>
    </xdr:from>
    <xdr:to>
      <xdr:col>4</xdr:col>
      <xdr:colOff>0</xdr:colOff>
      <xdr:row>116</xdr:row>
      <xdr:rowOff>0</xdr:rowOff>
    </xdr:to>
    <xdr:sp macro="" textlink="">
      <xdr:nvSpPr>
        <xdr:cNvPr id="38067" name="Line 3">
          <a:extLst>
            <a:ext uri="{FF2B5EF4-FFF2-40B4-BE49-F238E27FC236}">
              <a16:creationId xmlns:a16="http://schemas.microsoft.com/office/drawing/2014/main" id="{00000000-0008-0000-0200-0000B3940000}"/>
            </a:ext>
          </a:extLst>
        </xdr:cNvPr>
        <xdr:cNvSpPr>
          <a:spLocks noChangeShapeType="1"/>
        </xdr:cNvSpPr>
      </xdr:nvSpPr>
      <xdr:spPr bwMode="auto">
        <a:xfrm flipH="1">
          <a:off x="76200" y="18869025"/>
          <a:ext cx="4286250" cy="0"/>
        </a:xfrm>
        <a:prstGeom prst="line">
          <a:avLst/>
        </a:prstGeom>
        <a:noFill/>
        <a:ln w="19050">
          <a:solidFill>
            <a:srgbClr val="000000"/>
          </a:solidFill>
          <a:round/>
          <a:headEnd/>
          <a:tailEnd type="diamond" w="med" len="med"/>
        </a:ln>
        <a:extLst>
          <a:ext uri="{909E8E84-426E-40DD-AFC4-6F175D3DCCD1}">
            <a14:hiddenFill xmlns:a14="http://schemas.microsoft.com/office/drawing/2010/main">
              <a:noFill/>
            </a14:hiddenFill>
          </a:ext>
        </a:extLst>
      </xdr:spPr>
    </xdr:sp>
    <xdr:clientData/>
  </xdr:twoCellAnchor>
  <xdr:twoCellAnchor>
    <xdr:from>
      <xdr:col>0</xdr:col>
      <xdr:colOff>95250</xdr:colOff>
      <xdr:row>116</xdr:row>
      <xdr:rowOff>0</xdr:rowOff>
    </xdr:from>
    <xdr:to>
      <xdr:col>4</xdr:col>
      <xdr:colOff>19050</xdr:colOff>
      <xdr:row>116</xdr:row>
      <xdr:rowOff>0</xdr:rowOff>
    </xdr:to>
    <xdr:sp macro="" textlink="">
      <xdr:nvSpPr>
        <xdr:cNvPr id="38068" name="Line 4">
          <a:extLst>
            <a:ext uri="{FF2B5EF4-FFF2-40B4-BE49-F238E27FC236}">
              <a16:creationId xmlns:a16="http://schemas.microsoft.com/office/drawing/2014/main" id="{00000000-0008-0000-0200-0000B4940000}"/>
            </a:ext>
          </a:extLst>
        </xdr:cNvPr>
        <xdr:cNvSpPr>
          <a:spLocks noChangeShapeType="1"/>
        </xdr:cNvSpPr>
      </xdr:nvSpPr>
      <xdr:spPr bwMode="auto">
        <a:xfrm flipH="1">
          <a:off x="95250" y="18869025"/>
          <a:ext cx="4286250" cy="0"/>
        </a:xfrm>
        <a:prstGeom prst="line">
          <a:avLst/>
        </a:prstGeom>
        <a:noFill/>
        <a:ln w="19050">
          <a:solidFill>
            <a:srgbClr val="000000"/>
          </a:solidFill>
          <a:round/>
          <a:headEnd/>
          <a:tailEnd type="diamond" w="med" len="med"/>
        </a:ln>
        <a:extLst>
          <a:ext uri="{909E8E84-426E-40DD-AFC4-6F175D3DCCD1}">
            <a14:hiddenFill xmlns:a14="http://schemas.microsoft.com/office/drawing/2010/main">
              <a:noFill/>
            </a14:hiddenFill>
          </a:ext>
        </a:extLst>
      </xdr:spPr>
    </xdr:sp>
    <xdr:clientData/>
  </xdr:twoCellAnchor>
  <xdr:twoCellAnchor>
    <xdr:from>
      <xdr:col>0</xdr:col>
      <xdr:colOff>76200</xdr:colOff>
      <xdr:row>116</xdr:row>
      <xdr:rowOff>0</xdr:rowOff>
    </xdr:from>
    <xdr:to>
      <xdr:col>4</xdr:col>
      <xdr:colOff>0</xdr:colOff>
      <xdr:row>116</xdr:row>
      <xdr:rowOff>0</xdr:rowOff>
    </xdr:to>
    <xdr:sp macro="" textlink="">
      <xdr:nvSpPr>
        <xdr:cNvPr id="38069" name="Line 5">
          <a:extLst>
            <a:ext uri="{FF2B5EF4-FFF2-40B4-BE49-F238E27FC236}">
              <a16:creationId xmlns:a16="http://schemas.microsoft.com/office/drawing/2014/main" id="{00000000-0008-0000-0200-0000B5940000}"/>
            </a:ext>
          </a:extLst>
        </xdr:cNvPr>
        <xdr:cNvSpPr>
          <a:spLocks noChangeShapeType="1"/>
        </xdr:cNvSpPr>
      </xdr:nvSpPr>
      <xdr:spPr bwMode="auto">
        <a:xfrm flipH="1">
          <a:off x="76200" y="18869025"/>
          <a:ext cx="4286250" cy="0"/>
        </a:xfrm>
        <a:prstGeom prst="line">
          <a:avLst/>
        </a:prstGeom>
        <a:noFill/>
        <a:ln w="19050">
          <a:solidFill>
            <a:srgbClr val="000000"/>
          </a:solidFill>
          <a:round/>
          <a:headEnd/>
          <a:tailEnd type="diamond"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157</xdr:row>
      <xdr:rowOff>152400</xdr:rowOff>
    </xdr:from>
    <xdr:to>
      <xdr:col>4</xdr:col>
      <xdr:colOff>0</xdr:colOff>
      <xdr:row>158</xdr:row>
      <xdr:rowOff>0</xdr:rowOff>
    </xdr:to>
    <xdr:sp macro="" textlink="">
      <xdr:nvSpPr>
        <xdr:cNvPr id="36092" name="Line 1">
          <a:extLst>
            <a:ext uri="{FF2B5EF4-FFF2-40B4-BE49-F238E27FC236}">
              <a16:creationId xmlns:a16="http://schemas.microsoft.com/office/drawing/2014/main" id="{00000000-0008-0000-0400-0000FC8C0000}"/>
            </a:ext>
          </a:extLst>
        </xdr:cNvPr>
        <xdr:cNvSpPr>
          <a:spLocks noChangeShapeType="1"/>
        </xdr:cNvSpPr>
      </xdr:nvSpPr>
      <xdr:spPr bwMode="auto">
        <a:xfrm flipH="1" flipV="1">
          <a:off x="219075" y="26279475"/>
          <a:ext cx="4143375" cy="95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diamond" w="med" len="med"/>
        </a:ln>
        <a:extLst>
          <a:ext uri="{909E8E84-426E-40DD-AFC4-6F175D3DCCD1}">
            <a14:hiddenFill xmlns:a14="http://schemas.microsoft.com/office/drawing/2010/main">
              <a:noFill/>
            </a14:hiddenFill>
          </a:ext>
        </a:extLst>
      </xdr:spPr>
    </xdr:sp>
    <xdr:clientData fPrintsWithSheet="0"/>
  </xdr:twoCellAnchor>
  <xdr:twoCellAnchor>
    <xdr:from>
      <xdr:col>0</xdr:col>
      <xdr:colOff>85725</xdr:colOff>
      <xdr:row>156</xdr:row>
      <xdr:rowOff>0</xdr:rowOff>
    </xdr:from>
    <xdr:to>
      <xdr:col>4</xdr:col>
      <xdr:colOff>0</xdr:colOff>
      <xdr:row>156</xdr:row>
      <xdr:rowOff>0</xdr:rowOff>
    </xdr:to>
    <xdr:sp macro="" textlink="">
      <xdr:nvSpPr>
        <xdr:cNvPr id="36093" name="Line 2">
          <a:extLst>
            <a:ext uri="{FF2B5EF4-FFF2-40B4-BE49-F238E27FC236}">
              <a16:creationId xmlns:a16="http://schemas.microsoft.com/office/drawing/2014/main" id="{00000000-0008-0000-0400-0000FD8C0000}"/>
            </a:ext>
          </a:extLst>
        </xdr:cNvPr>
        <xdr:cNvSpPr>
          <a:spLocks noChangeShapeType="1"/>
        </xdr:cNvSpPr>
      </xdr:nvSpPr>
      <xdr:spPr bwMode="auto">
        <a:xfrm flipH="1">
          <a:off x="85725" y="25965150"/>
          <a:ext cx="42767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a:solidFill>
                <a:srgbClr val="000000"/>
              </a:solidFill>
              <a:round/>
              <a:headEnd/>
              <a:tailEnd type="diamond" w="med" len="med"/>
            </a14:hiddenLine>
          </a:ext>
        </a:extLst>
      </xdr:spPr>
    </xdr:sp>
    <xdr:clientData/>
  </xdr:twoCellAnchor>
  <xdr:twoCellAnchor>
    <xdr:from>
      <xdr:col>0</xdr:col>
      <xdr:colOff>76200</xdr:colOff>
      <xdr:row>156</xdr:row>
      <xdr:rowOff>0</xdr:rowOff>
    </xdr:from>
    <xdr:to>
      <xdr:col>4</xdr:col>
      <xdr:colOff>0</xdr:colOff>
      <xdr:row>156</xdr:row>
      <xdr:rowOff>0</xdr:rowOff>
    </xdr:to>
    <xdr:sp macro="" textlink="">
      <xdr:nvSpPr>
        <xdr:cNvPr id="36094" name="Line 3">
          <a:extLst>
            <a:ext uri="{FF2B5EF4-FFF2-40B4-BE49-F238E27FC236}">
              <a16:creationId xmlns:a16="http://schemas.microsoft.com/office/drawing/2014/main" id="{00000000-0008-0000-0400-0000FE8C0000}"/>
            </a:ext>
          </a:extLst>
        </xdr:cNvPr>
        <xdr:cNvSpPr>
          <a:spLocks noChangeShapeType="1"/>
        </xdr:cNvSpPr>
      </xdr:nvSpPr>
      <xdr:spPr bwMode="auto">
        <a:xfrm flipH="1">
          <a:off x="76200" y="25965150"/>
          <a:ext cx="42862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a:solidFill>
                <a:srgbClr val="000000"/>
              </a:solidFill>
              <a:round/>
              <a:headEnd/>
              <a:tailEnd type="diamond" w="med" len="me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0</xdr:row>
      <xdr:rowOff>0</xdr:rowOff>
    </xdr:to>
    <xdr:pic>
      <xdr:nvPicPr>
        <xdr:cNvPr id="30644" name="Picture 1" descr="Chart_278">
          <a:extLst>
            <a:ext uri="{FF2B5EF4-FFF2-40B4-BE49-F238E27FC236}">
              <a16:creationId xmlns:a16="http://schemas.microsoft.com/office/drawing/2014/main" id="{00000000-0008-0000-0F00-0000B47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53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13</xdr:col>
      <xdr:colOff>0</xdr:colOff>
      <xdr:row>0</xdr:row>
      <xdr:rowOff>0</xdr:rowOff>
    </xdr:to>
    <xdr:pic>
      <xdr:nvPicPr>
        <xdr:cNvPr id="30645" name="Picture 2" descr="Chart_428">
          <a:extLst>
            <a:ext uri="{FF2B5EF4-FFF2-40B4-BE49-F238E27FC236}">
              <a16:creationId xmlns:a16="http://schemas.microsoft.com/office/drawing/2014/main" id="{00000000-0008-0000-0F00-0000B57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0"/>
          <a:ext cx="9144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18</xdr:row>
      <xdr:rowOff>0</xdr:rowOff>
    </xdr:from>
    <xdr:to>
      <xdr:col>13</xdr:col>
      <xdr:colOff>0</xdr:colOff>
      <xdr:row>18</xdr:row>
      <xdr:rowOff>0</xdr:rowOff>
    </xdr:to>
    <xdr:pic>
      <xdr:nvPicPr>
        <xdr:cNvPr id="30646" name="Picture 3" descr="Chart_758">
          <a:extLst>
            <a:ext uri="{FF2B5EF4-FFF2-40B4-BE49-F238E27FC236}">
              <a16:creationId xmlns:a16="http://schemas.microsoft.com/office/drawing/2014/main" id="{00000000-0008-0000-0F00-0000B67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486150"/>
          <a:ext cx="10753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dmin-Facilities\Tim%20-%20Personal%20Projects\Tim%20-%20Proposed%20Rules\Latest%20Version%20of%20Proposed%20Rules\POR\POR123019%20-%20Marked%20ou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are-Facilities/Programs/Partnership/2015-2017/2014-03-07%20New%20School%20Calc%20She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FileShare-Facilities\Programs\Partnership\2015-2017\1517%20POR%20WITH%20WORK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Notes"/>
      <sheetName val="Summary"/>
      <sheetName val="SuitabilityAnalysis"/>
      <sheetName val="SupportSpaces"/>
      <sheetName val="Career Education"/>
      <sheetName val="Space Notes"/>
      <sheetName val="RequiredSpaces"/>
      <sheetName val="Average Means"/>
      <sheetName val="Demolitions"/>
      <sheetName val="Data"/>
      <sheetName val="Conversions"/>
      <sheetName val="SQFTG "/>
      <sheetName val="ENROLLMENT"/>
      <sheetName val="SUITABILITY"/>
      <sheetName val="DEPRECIATION AVERAGE"/>
      <sheetName val="NEW SCHOOL Average Means"/>
      <sheetName val="New school sheet"/>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aceReview"/>
      <sheetName val="Existing Schools"/>
    </sheetNames>
    <sheetDataSet>
      <sheetData sheetId="0">
        <row r="3">
          <cell r="A3" t="str">
            <v xml:space="preserve">District:  </v>
          </cell>
        </row>
        <row r="4">
          <cell r="A4" t="str">
            <v xml:space="preserve">School:   </v>
          </cell>
        </row>
        <row r="5">
          <cell r="A5" t="str">
            <v xml:space="preserve">Project Number: </v>
          </cell>
        </row>
        <row r="6">
          <cell r="A6" t="str">
            <v>Project:</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Spaces"/>
      <sheetName val="SuitabilityAnalysis"/>
      <sheetName val="Summary"/>
      <sheetName val="Demolitions"/>
      <sheetName val="SupportSpaces"/>
      <sheetName val="Workforce Development"/>
      <sheetName val="Average Means"/>
      <sheetName val="SQFTG "/>
      <sheetName val="ENROLLMENT"/>
      <sheetName val="SUITABILITY"/>
      <sheetName val="DEPRECIATION AVERAGE"/>
      <sheetName val="New school sheet"/>
      <sheetName val="Data"/>
      <sheetName val="Conversions"/>
      <sheetName val="Space 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1" displayName="Table_1" ref="E114" headerRowCount="0" headerRowDxfId="4" dataDxfId="3" totalsRowDxfId="1" tableBorderDxfId="2">
  <tableColumns count="1">
    <tableColumn id="1" xr3:uid="{00000000-0010-0000-0000-000001000000}" name="Column1" dataDxfId="0"/>
  </tableColumns>
  <tableStyleInfo name="Career Education-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E32"/>
  <sheetViews>
    <sheetView topLeftCell="A19" workbookViewId="0">
      <selection activeCell="A39" sqref="A39"/>
    </sheetView>
  </sheetViews>
  <sheetFormatPr defaultRowHeight="13.2"/>
  <cols>
    <col min="1" max="1" width="20.109375" bestFit="1" customWidth="1"/>
    <col min="2" max="2" width="13.6640625" customWidth="1"/>
    <col min="3" max="3" width="47.88671875" customWidth="1"/>
    <col min="4" max="4" width="17.44140625" customWidth="1"/>
    <col min="5" max="5" width="50" style="202" bestFit="1" customWidth="1"/>
  </cols>
  <sheetData>
    <row r="1" spans="1:5">
      <c r="A1" s="331" t="s">
        <v>753</v>
      </c>
      <c r="B1" s="332" t="s">
        <v>749</v>
      </c>
      <c r="C1" s="332" t="s">
        <v>750</v>
      </c>
      <c r="D1" s="332" t="s">
        <v>751</v>
      </c>
      <c r="E1" s="333" t="s">
        <v>752</v>
      </c>
    </row>
    <row r="2" spans="1:5" ht="29.25" customHeight="1">
      <c r="A2" s="341" t="s">
        <v>754</v>
      </c>
      <c r="B2" s="334" t="s">
        <v>755</v>
      </c>
      <c r="C2" s="335" t="s">
        <v>756</v>
      </c>
      <c r="D2" s="336" t="s">
        <v>763</v>
      </c>
      <c r="E2" s="337"/>
    </row>
    <row r="3" spans="1:5" ht="39.6">
      <c r="A3" s="341" t="s">
        <v>754</v>
      </c>
      <c r="B3" s="334" t="s">
        <v>755</v>
      </c>
      <c r="C3" s="335" t="s">
        <v>828</v>
      </c>
      <c r="D3" s="355" t="s">
        <v>826</v>
      </c>
      <c r="E3" s="337" t="s">
        <v>827</v>
      </c>
    </row>
    <row r="4" spans="1:5" ht="29.25" customHeight="1">
      <c r="A4" s="342" t="s">
        <v>759</v>
      </c>
      <c r="B4" s="334" t="s">
        <v>757</v>
      </c>
      <c r="C4" s="335" t="s">
        <v>758</v>
      </c>
      <c r="D4" s="338" t="s">
        <v>778</v>
      </c>
      <c r="E4" s="335" t="s">
        <v>760</v>
      </c>
    </row>
    <row r="5" spans="1:5" ht="29.25" customHeight="1">
      <c r="A5" s="342" t="s">
        <v>759</v>
      </c>
      <c r="B5" s="334" t="s">
        <v>761</v>
      </c>
      <c r="C5" s="335" t="s">
        <v>762</v>
      </c>
      <c r="D5" s="338" t="s">
        <v>763</v>
      </c>
      <c r="E5" s="335" t="s">
        <v>764</v>
      </c>
    </row>
    <row r="6" spans="1:5" ht="29.25" customHeight="1">
      <c r="A6" s="342" t="s">
        <v>759</v>
      </c>
      <c r="B6" s="339" t="s">
        <v>765</v>
      </c>
      <c r="C6" s="335" t="s">
        <v>766</v>
      </c>
      <c r="D6" s="340" t="s">
        <v>763</v>
      </c>
      <c r="E6" s="335" t="s">
        <v>767</v>
      </c>
    </row>
    <row r="7" spans="1:5" ht="29.25" customHeight="1">
      <c r="A7" s="342" t="s">
        <v>759</v>
      </c>
      <c r="B7" s="339" t="s">
        <v>768</v>
      </c>
      <c r="C7" s="335" t="s">
        <v>769</v>
      </c>
      <c r="D7" s="340" t="s">
        <v>763</v>
      </c>
      <c r="E7" s="335" t="s">
        <v>770</v>
      </c>
    </row>
    <row r="8" spans="1:5" ht="29.25" customHeight="1">
      <c r="A8" s="342" t="s">
        <v>759</v>
      </c>
      <c r="B8" s="339" t="s">
        <v>771</v>
      </c>
      <c r="C8" s="335" t="s">
        <v>772</v>
      </c>
      <c r="D8" s="340" t="s">
        <v>763</v>
      </c>
      <c r="E8" s="335" t="s">
        <v>773</v>
      </c>
    </row>
    <row r="9" spans="1:5" ht="29.25" customHeight="1">
      <c r="A9" s="343" t="s">
        <v>774</v>
      </c>
      <c r="B9" s="339" t="s">
        <v>775</v>
      </c>
      <c r="C9" s="337" t="s">
        <v>776</v>
      </c>
      <c r="D9" s="340" t="s">
        <v>763</v>
      </c>
      <c r="E9" s="337" t="s">
        <v>777</v>
      </c>
    </row>
    <row r="10" spans="1:5" ht="29.25" customHeight="1">
      <c r="A10" s="343" t="s">
        <v>774</v>
      </c>
      <c r="B10" s="339" t="s">
        <v>785</v>
      </c>
      <c r="C10" s="337" t="s">
        <v>779</v>
      </c>
      <c r="D10" s="340" t="s">
        <v>763</v>
      </c>
      <c r="E10" s="337" t="s">
        <v>780</v>
      </c>
    </row>
    <row r="11" spans="1:5" ht="29.25" customHeight="1">
      <c r="A11" s="344" t="s">
        <v>782</v>
      </c>
      <c r="B11" s="339" t="s">
        <v>757</v>
      </c>
      <c r="C11" s="337" t="s">
        <v>781</v>
      </c>
      <c r="D11" s="340" t="s">
        <v>763</v>
      </c>
      <c r="E11" s="335" t="s">
        <v>841</v>
      </c>
    </row>
    <row r="12" spans="1:5" ht="29.25" customHeight="1">
      <c r="A12" s="344" t="s">
        <v>783</v>
      </c>
      <c r="B12" s="339" t="s">
        <v>784</v>
      </c>
      <c r="C12" s="337" t="s">
        <v>786</v>
      </c>
      <c r="D12" s="354" t="s">
        <v>840</v>
      </c>
      <c r="E12" s="337" t="s">
        <v>787</v>
      </c>
    </row>
    <row r="13" spans="1:5" ht="29.25" customHeight="1">
      <c r="A13" s="344" t="s">
        <v>783</v>
      </c>
      <c r="B13" s="339" t="s">
        <v>788</v>
      </c>
      <c r="C13" s="337" t="s">
        <v>789</v>
      </c>
      <c r="D13" s="340" t="s">
        <v>763</v>
      </c>
      <c r="E13" s="337"/>
    </row>
    <row r="14" spans="1:5" ht="29.25" customHeight="1">
      <c r="A14" s="344" t="s">
        <v>783</v>
      </c>
      <c r="B14" s="339" t="s">
        <v>790</v>
      </c>
      <c r="C14" s="337" t="s">
        <v>791</v>
      </c>
      <c r="D14" s="340" t="s">
        <v>763</v>
      </c>
      <c r="E14" s="337" t="s">
        <v>792</v>
      </c>
    </row>
    <row r="15" spans="1:5" ht="39.6">
      <c r="A15" s="345" t="s">
        <v>793</v>
      </c>
      <c r="B15" s="339" t="s">
        <v>794</v>
      </c>
      <c r="C15" s="337" t="s">
        <v>795</v>
      </c>
      <c r="D15" s="340" t="s">
        <v>763</v>
      </c>
      <c r="E15" s="337" t="s">
        <v>796</v>
      </c>
    </row>
    <row r="16" spans="1:5" ht="29.25" customHeight="1">
      <c r="A16" s="345" t="s">
        <v>793</v>
      </c>
      <c r="B16" s="339" t="s">
        <v>797</v>
      </c>
      <c r="C16" s="337" t="s">
        <v>798</v>
      </c>
      <c r="D16" s="340" t="s">
        <v>763</v>
      </c>
      <c r="E16" s="337"/>
    </row>
    <row r="17" spans="1:5" ht="52.8">
      <c r="A17" s="346" t="s">
        <v>799</v>
      </c>
      <c r="B17" s="339" t="s">
        <v>755</v>
      </c>
      <c r="C17" s="337" t="s">
        <v>800</v>
      </c>
      <c r="D17" s="340" t="s">
        <v>763</v>
      </c>
      <c r="E17" s="337"/>
    </row>
    <row r="18" spans="1:5" ht="38.25" customHeight="1">
      <c r="A18" s="346" t="s">
        <v>799</v>
      </c>
      <c r="B18" s="356" t="s">
        <v>755</v>
      </c>
      <c r="C18" s="202" t="s">
        <v>825</v>
      </c>
      <c r="D18" s="357" t="s">
        <v>763</v>
      </c>
    </row>
    <row r="19" spans="1:5" ht="52.8">
      <c r="A19" s="347" t="s">
        <v>801</v>
      </c>
      <c r="B19" s="339" t="s">
        <v>755</v>
      </c>
      <c r="C19" s="337" t="s">
        <v>800</v>
      </c>
      <c r="D19" s="340" t="s">
        <v>763</v>
      </c>
      <c r="E19" s="337"/>
    </row>
    <row r="20" spans="1:5" ht="29.25" customHeight="1">
      <c r="A20" s="348" t="s">
        <v>802</v>
      </c>
      <c r="B20" s="339" t="s">
        <v>755</v>
      </c>
      <c r="C20" s="337" t="s">
        <v>803</v>
      </c>
      <c r="D20" s="340" t="s">
        <v>806</v>
      </c>
      <c r="E20" s="337"/>
    </row>
    <row r="21" spans="1:5" ht="29.25" customHeight="1">
      <c r="A21" s="348" t="s">
        <v>802</v>
      </c>
      <c r="B21" s="339" t="s">
        <v>804</v>
      </c>
      <c r="C21" s="337" t="s">
        <v>805</v>
      </c>
      <c r="D21" s="340" t="s">
        <v>806</v>
      </c>
      <c r="E21" s="337"/>
    </row>
    <row r="22" spans="1:5" ht="29.25" customHeight="1">
      <c r="A22" s="349" t="s">
        <v>807</v>
      </c>
      <c r="B22" s="339" t="s">
        <v>755</v>
      </c>
      <c r="C22" s="337" t="s">
        <v>803</v>
      </c>
      <c r="D22" s="340" t="s">
        <v>806</v>
      </c>
      <c r="E22" s="337"/>
    </row>
    <row r="23" spans="1:5" ht="29.25" customHeight="1">
      <c r="A23" s="349" t="s">
        <v>807</v>
      </c>
      <c r="B23" s="339" t="s">
        <v>808</v>
      </c>
      <c r="C23" s="337" t="s">
        <v>809</v>
      </c>
      <c r="D23" s="336" t="s">
        <v>763</v>
      </c>
      <c r="E23" s="337" t="s">
        <v>810</v>
      </c>
    </row>
    <row r="24" spans="1:5" ht="29.25" customHeight="1">
      <c r="A24" s="350" t="s">
        <v>811</v>
      </c>
      <c r="B24" s="339" t="s">
        <v>755</v>
      </c>
      <c r="C24" s="337" t="s">
        <v>812</v>
      </c>
      <c r="D24" s="336" t="s">
        <v>806</v>
      </c>
      <c r="E24" s="337"/>
    </row>
    <row r="25" spans="1:5" ht="29.25" customHeight="1">
      <c r="A25" s="351" t="s">
        <v>815</v>
      </c>
      <c r="B25" s="339" t="s">
        <v>813</v>
      </c>
      <c r="C25" s="337" t="s">
        <v>814</v>
      </c>
      <c r="D25" s="336" t="s">
        <v>763</v>
      </c>
      <c r="E25" s="337"/>
    </row>
    <row r="26" spans="1:5" ht="29.25" customHeight="1">
      <c r="A26" s="352" t="s">
        <v>816</v>
      </c>
      <c r="B26" s="339" t="s">
        <v>817</v>
      </c>
      <c r="C26" s="337" t="s">
        <v>818</v>
      </c>
      <c r="D26" s="336" t="s">
        <v>763</v>
      </c>
      <c r="E26" s="337"/>
    </row>
    <row r="27" spans="1:5" ht="29.25" customHeight="1">
      <c r="A27" s="353" t="s">
        <v>819</v>
      </c>
      <c r="B27" s="339" t="s">
        <v>820</v>
      </c>
      <c r="C27" s="337" t="s">
        <v>823</v>
      </c>
      <c r="D27" s="336" t="s">
        <v>763</v>
      </c>
      <c r="E27" s="337" t="s">
        <v>821</v>
      </c>
    </row>
    <row r="28" spans="1:5" ht="29.25" customHeight="1">
      <c r="A28" s="353" t="s">
        <v>819</v>
      </c>
      <c r="B28" s="339" t="s">
        <v>822</v>
      </c>
      <c r="C28" s="337" t="s">
        <v>824</v>
      </c>
      <c r="D28" s="336" t="s">
        <v>806</v>
      </c>
      <c r="E28" s="337" t="s">
        <v>741</v>
      </c>
    </row>
    <row r="30" spans="1:5">
      <c r="C30" s="202"/>
    </row>
    <row r="31" spans="1:5">
      <c r="C31" s="202"/>
    </row>
    <row r="32" spans="1:5">
      <c r="C32" s="202"/>
    </row>
  </sheetData>
  <sheetProtection password="D490" sheet="1"/>
  <pageMargins left="0.7" right="0.7" top="0.75" bottom="0.75" header="0.3" footer="0.3"/>
  <pageSetup scale="8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G38"/>
  <sheetViews>
    <sheetView topLeftCell="A4" workbookViewId="0">
      <selection activeCell="C23" sqref="C23"/>
    </sheetView>
  </sheetViews>
  <sheetFormatPr defaultColWidth="9.109375" defaultRowHeight="13.2"/>
  <cols>
    <col min="1" max="1" width="23.5546875" style="81" customWidth="1"/>
    <col min="2" max="2" width="26.109375" style="81" customWidth="1"/>
    <col min="3" max="3" width="14.44140625" style="81" customWidth="1"/>
    <col min="4" max="6" width="12.33203125" style="81" customWidth="1"/>
    <col min="7" max="7" width="16" style="81" customWidth="1"/>
    <col min="8" max="16384" width="9.109375" style="81"/>
  </cols>
  <sheetData>
    <row r="1" spans="1:7" ht="15.6">
      <c r="A1" s="82" t="s">
        <v>514</v>
      </c>
    </row>
    <row r="2" spans="1:7">
      <c r="A2" s="83"/>
    </row>
    <row r="4" spans="1:7" ht="15.6">
      <c r="A4" s="82" t="s">
        <v>467</v>
      </c>
      <c r="B4" s="54">
        <f>Summary!C1</f>
        <v>0</v>
      </c>
      <c r="C4" s="13"/>
    </row>
    <row r="5" spans="1:7" ht="15.6">
      <c r="A5" s="82" t="s">
        <v>468</v>
      </c>
      <c r="B5" s="54">
        <f>Summary!C2</f>
        <v>0</v>
      </c>
      <c r="C5" s="13"/>
    </row>
    <row r="6" spans="1:7" ht="15.6">
      <c r="A6" s="82" t="s">
        <v>469</v>
      </c>
      <c r="B6" s="54">
        <f>Summary!C4</f>
        <v>0</v>
      </c>
      <c r="C6" s="13"/>
    </row>
    <row r="7" spans="1:7" ht="15.6">
      <c r="A7" s="82"/>
      <c r="B7" s="58"/>
      <c r="C7" s="13"/>
    </row>
    <row r="8" spans="1:7" ht="15.6">
      <c r="A8" s="82" t="s">
        <v>470</v>
      </c>
      <c r="B8" s="54">
        <f>Summary!G3</f>
        <v>0</v>
      </c>
      <c r="C8" s="13"/>
    </row>
    <row r="9" spans="1:7" ht="15.6">
      <c r="A9" s="82" t="s">
        <v>471</v>
      </c>
      <c r="B9" s="821">
        <f>Summary!G4</f>
        <v>0</v>
      </c>
      <c r="C9" s="822"/>
    </row>
    <row r="10" spans="1:7" ht="15.6">
      <c r="A10" s="82"/>
    </row>
    <row r="11" spans="1:7" ht="15.6">
      <c r="A11" s="82" t="s">
        <v>472</v>
      </c>
      <c r="B11" s="122" t="s">
        <v>495</v>
      </c>
      <c r="C11" s="823"/>
    </row>
    <row r="12" spans="1:7">
      <c r="A12" s="22" t="s">
        <v>474</v>
      </c>
    </row>
    <row r="13" spans="1:7" ht="39.6">
      <c r="B13" s="85" t="s">
        <v>498</v>
      </c>
      <c r="C13" s="824" t="s">
        <v>499</v>
      </c>
      <c r="D13" s="824" t="s">
        <v>476</v>
      </c>
      <c r="E13" s="824" t="s">
        <v>500</v>
      </c>
      <c r="F13" s="824" t="s">
        <v>501</v>
      </c>
      <c r="G13" s="824" t="s">
        <v>515</v>
      </c>
    </row>
    <row r="15" spans="1:7" ht="13.8">
      <c r="A15" s="832" t="s">
        <v>477</v>
      </c>
      <c r="B15" s="827">
        <f>IF((OR($B$11="Batesville",$B$11="Camden",$B$11="Fayetteville",$B$11="Fort Smith",$B$11="Harrison",$B$11="Hot Springs")),IF($B$11="Batesville",Data!B3,IF($B$11="Camden",Data!C3,IF($B$11="Fayetteville",Data!D3,IF($B$11="Fort Smith",Data!E3,IF($B$11="Harrison",Data!F3,IF($B$11="Hot Springs",Data!G3,ERROR)))))),IF($B$11="Jonesboro",Data!H3,IF($B$11="Little Rock",Data!I3,IF($B$11="Pine Bluff",Data!J3,IF($B$11="Russellville",Data!K3,IF($B$11="Texarkana",Data!L3,IF($B$11="West Memphis",Data!M3,ERROR)))))))</f>
        <v>200</v>
      </c>
      <c r="C15" s="828">
        <f>IF((OR($B$11="Batesville",$B$11="Camden",$B$11="Fayetteville",$B$11="Fort Smith",$B$11="Harrison",$B$11="Hot Springs")),IF($B$11="Batesville",Conversions!D3,IF($B$11="Camden",Conversions!E3,IF($B$11="Fayetteville",Conversions!F3,IF($B$11="Fort Smith",Conversions!G3,IF($B$11="Harrison",Conversions!H3,IF($B$11="Hot Springs",Conversions!I3,ERROR)))))),IF($B$11="Jonesboro",Conversions!J3,IF($B$11="Little Rock",Conversions!K3,IF($B$11="Pine Bluff",Conversions!L3,IF($B$11="Russellville",Conversions!M3,IF($B$11="Texarkana",Conversions!N3,IF($B$11="West Memphis",Conversions!O3,ERROR)))))))</f>
        <v>152.67310441826467</v>
      </c>
      <c r="D15" s="829">
        <f>RequiredSpaces!M14</f>
        <v>0</v>
      </c>
      <c r="E15" s="399"/>
      <c r="F15" s="399"/>
      <c r="G15" s="825">
        <f t="shared" ref="G15:G20" si="0">B15*E15+C15*F15</f>
        <v>0</v>
      </c>
    </row>
    <row r="16" spans="1:7" ht="13.8">
      <c r="A16" s="832" t="s">
        <v>478</v>
      </c>
      <c r="B16" s="827">
        <f>IF((OR($B$11="Batesville",$B$11="Camden",$B$11="Fayetteville",$B$11="Fort Smith",$B$11="Harrison",$B$11="Hot Springs")),IF($B$11="Batesville",Data!B4,IF($B$11="Camden",Data!C4,IF($B$11="Fayetteville",Data!D4,IF($B$11="Fort Smith",Data!E4,IF($B$11="Harrison",Data!F4,IF($B$11="Hot Springs",Data!G4,ERROR)))))),IF($B$11="Jonesboro",Data!H4,IF($B$11="Little Rock",Data!I4,IF($B$11="Pine Bluff",Data!J4,IF($B$11="Russellville",Data!K4,IF($B$11="Texarkana",Data!L4,IF($B$11="West Memphis",Data!M4,ERROR)))))))</f>
        <v>200</v>
      </c>
      <c r="C16" s="828">
        <f>IF((OR($B$11="Batesville",$B$11="Camden",$B$11="Fayetteville",$B$11="Fort Smith",$B$11="Harrison",$B$11="Hot Springs")),IF($B$11="Batesville",Conversions!D4,IF($B$11="Camden",Conversions!E4,IF($B$11="Fayetteville",Conversions!F4,IF($B$11="Fort Smith",Conversions!G4,IF($B$11="Harrison",Conversions!H4,IF($B$11="Hot Springs",Conversions!I4,ERROR)))))),IF($B$11="Jonesboro",Conversions!J4,IF($B$11="Little Rock",Conversions!K4,IF($B$11="Pine Bluff",Conversions!L4,IF($B$11="Russellville",Conversions!M4,IF($B$11="Texarkana",Conversions!N4,IF($B$11="West Memphis",Conversions!O4,ERROR)))))))</f>
        <v>151.33169899106721</v>
      </c>
      <c r="D16" s="829">
        <f>RequiredSpaces!H16</f>
        <v>0</v>
      </c>
      <c r="E16" s="399"/>
      <c r="F16" s="399"/>
      <c r="G16" s="825">
        <f t="shared" si="0"/>
        <v>0</v>
      </c>
    </row>
    <row r="17" spans="1:7" ht="13.8">
      <c r="A17" s="832" t="s">
        <v>220</v>
      </c>
      <c r="B17" s="827">
        <f>IF((OR($B$11="Batesville",$B$11="Camden",$B$11="Fayetteville",$B$11="Fort Smith",$B$11="Harrison",$B$11="Hot Springs")),IF($B$11="Batesville",Data!B5,IF($B$11="Camden",Data!C5,IF($B$11="Fayetteville",Data!D5,IF($B$11="Fort Smith",Data!E5,IF($B$11="Harrison",Data!F5,IF($B$11="Hot Springs",Data!G5,ERROR)))))),IF($B$11="Jonesboro",Data!H5,IF($B$11="Little Rock",Data!I5,IF($B$11="Pine Bluff",Data!J5,IF($B$11="Russellville",Data!K5,IF($B$11="Texarkana",Data!L5,IF($B$11="West Memphis",Data!M5,ERROR)))))))</f>
        <v>200</v>
      </c>
      <c r="C17" s="828">
        <f>IF((OR($B$11="Batesville",$B$11="Camden",$B$11="Fayetteville",$B$11="Fort Smith",$B$11="Harrison",$B$11="Hot Springs")),IF($B$11="Batesville",Conversions!D5,IF($B$11="Camden",Conversions!E5,IF($B$11="Fayetteville",Conversions!F5,IF($B$11="Fort Smith",Conversions!G5,IF($B$11="Harrison",Conversions!H5,IF($B$11="Hot Springs",Conversions!I5,ERROR)))))),IF($B$11="Jonesboro",Conversions!J5,IF($B$11="Little Rock",Conversions!K5,IF($B$11="Pine Bluff",Conversions!L5,IF($B$11="Russellville",Conversions!M5,IF($B$11="Texarkana",Conversions!N5,IF($B$11="West Memphis",Conversions!O5,ERROR)))))))</f>
        <v>187.27810014676146</v>
      </c>
      <c r="D17" s="829">
        <f>RequiredSpaces!H20</f>
        <v>0</v>
      </c>
      <c r="E17" s="399"/>
      <c r="F17" s="399"/>
      <c r="G17" s="825">
        <f t="shared" si="0"/>
        <v>0</v>
      </c>
    </row>
    <row r="18" spans="1:7" ht="13.8">
      <c r="A18" s="832" t="s">
        <v>479</v>
      </c>
      <c r="B18" s="827">
        <f>IF((OR($B$11="Batesville",$B$11="Camden",$B$11="Fayetteville",$B$11="Fort Smith",$B$11="Harrison",$B$11="Hot Springs")),IF($B$11="Batesville",Data!B6,IF($B$11="Camden",Data!C6,IF($B$11="Fayetteville",Data!D6,IF($B$11="Fort Smith",Data!E6,IF($B$11="Harrison",Data!F6,IF($B$11="Hot Springs",Data!G6,ERROR)))))),IF($B$11="Jonesboro",Data!H6,IF($B$11="Little Rock",Data!I6,IF($B$11="Pine Bluff",Data!J6,IF($B$11="Russellville",Data!K6,IF($B$11="Texarkana",Data!L6,IF($B$11="West Memphis",Data!M6,ERROR)))))))</f>
        <v>200</v>
      </c>
      <c r="C18" s="828">
        <f>IF((OR($B$11="Batesville",$B$11="Camden",$B$11="Fayetteville",$B$11="Fort Smith",$B$11="Harrison",$B$11="Hot Springs")),IF($B$11="Batesville",Conversions!D6,IF($B$11="Camden",Conversions!E6,IF($B$11="Fayetteville",Conversions!F6,IF($B$11="Fort Smith",Conversions!G6,IF($B$11="Harrison",Conversions!H6,IF($B$11="Hot Springs",Conversions!I6,ERROR)))))),IF($B$11="Jonesboro",Conversions!J6,IF($B$11="Little Rock",Conversions!K6,IF($B$11="Pine Bluff",Conversions!L6,IF($B$11="Russellville",Conversions!M6,IF($B$11="Texarkana",Conversions!N6,IF($B$11="West Memphis",Conversions!O6,ERROR)))))))</f>
        <v>196.11095484481075</v>
      </c>
      <c r="D18" s="829">
        <f>RequiredSpaces!M16</f>
        <v>0</v>
      </c>
      <c r="E18" s="399"/>
      <c r="F18" s="399"/>
      <c r="G18" s="825">
        <f t="shared" si="0"/>
        <v>0</v>
      </c>
    </row>
    <row r="19" spans="1:7" ht="13.8">
      <c r="A19" s="832" t="s">
        <v>480</v>
      </c>
      <c r="B19" s="827">
        <f>IF((OR($B$11="Batesville",$B$11="Camden",$B$11="Fayetteville",$B$11="Fort Smith",$B$11="Harrison",$B$11="Hot Springs")),IF($B$11="Batesville",Data!B7,IF($B$11="Camden",Data!C7,IF($B$11="Fayetteville",Data!D7,IF($B$11="Fort Smith",Data!E7,IF($B$11="Harrison",Data!F7,IF($B$11="Hot Springs",Data!G7,ERROR)))))),IF($B$11="Jonesboro",Data!H7,IF($B$11="Little Rock",Data!I7,IF($B$11="Pine Bluff",Data!J7,IF($B$11="Russellville",Data!K7,IF($B$11="Texarkana",Data!L7,IF($B$11="West Memphis",Data!M7,ERROR)))))))</f>
        <v>200</v>
      </c>
      <c r="C19" s="828">
        <f>IF((OR($B$11="Batesville",$B$11="Camden",$B$11="Fayetteville",$B$11="Fort Smith",$B$11="Harrison",$B$11="Hot Springs")),IF($B$11="Batesville",Conversions!D7,IF($B$11="Camden",Conversions!E7,IF($B$11="Fayetteville",Conversions!F7,IF($B$11="Fort Smith",Conversions!G7,IF($B$11="Harrison",Conversions!H7,IF($B$11="Hot Springs",Conversions!I7,ERROR)))))),IF($B$11="Jonesboro",Conversions!J7,IF($B$11="Little Rock",Conversions!K7,IF($B$11="Pine Bluff",Conversions!L7,IF($B$11="Russellville",Conversions!M7,IF($B$11="Texarkana",Conversions!N7,IF($B$11="West Memphis",Conversions!O7,ERROR)))))))</f>
        <v>197.69584833070087</v>
      </c>
      <c r="D19" s="829">
        <f>RequiredSpaces!M17</f>
        <v>0</v>
      </c>
      <c r="E19" s="399"/>
      <c r="F19" s="399"/>
      <c r="G19" s="825">
        <f t="shared" si="0"/>
        <v>0</v>
      </c>
    </row>
    <row r="20" spans="1:7" ht="13.8">
      <c r="A20" s="832" t="s">
        <v>219</v>
      </c>
      <c r="B20" s="827">
        <f>IF((OR($B$11="Batesville",$B$11="Camden",$B$11="Fayetteville",$B$11="Fort Smith",$B$11="Harrison",$B$11="Hot Springs")),IF($B$11="Batesville",Data!B8,IF($B$11="Camden",Data!C8,IF($B$11="Fayetteville",Data!D8,IF($B$11="Fort Smith",Data!E8,IF($B$11="Harrison",Data!F8,IF($B$11="Hot Springs",Data!G8,ERROR)))))),IF($B$11="Jonesboro",Data!H8,IF($B$11="Little Rock",Data!I8,IF($B$11="Pine Bluff",Data!J8,IF($B$11="Russellville",Data!K8,IF($B$11="Texarkana",Data!L8,IF($B$11="West Memphis",Data!M8,ERROR)))))))</f>
        <v>200</v>
      </c>
      <c r="C20" s="830"/>
      <c r="D20" s="829">
        <f>RequiredSpaces!H19</f>
        <v>0</v>
      </c>
      <c r="E20" s="399"/>
      <c r="F20" s="399"/>
      <c r="G20" s="825">
        <f t="shared" si="0"/>
        <v>0</v>
      </c>
    </row>
    <row r="21" spans="1:7" ht="13.8">
      <c r="A21" s="833" t="s">
        <v>171</v>
      </c>
      <c r="B21" s="827">
        <f>IF((OR($B$11="Batesville",$B$11="Camden",$B$11="Fayetteville",$B$11="Fort Smith",$B$11="Harrison",$B$11="Hot Springs")),IF($B$11="Batesville",Data!B9,IF($B$11="Camden",Data!C9,IF($B$11="Fayetteville",Data!D9,IF($B$11="Fort Smith",Data!E9,IF($B$11="Harrison",Data!F9,IF($B$11="Hot Springs",Data!G9,ERROR)))))),IF($B$11="Jonesboro",Data!H9,IF($B$11="Little Rock",Data!I9,IF($B$11="Pine Bluff",Data!J9,IF($B$11="Russellville",Data!K9,IF($B$11="Texarkana",Data!L9,IF($B$11="West Memphis",Data!M9,ERROR)))))))</f>
        <v>200</v>
      </c>
      <c r="C21" s="828">
        <f>IF((OR($B$11="Batesville",$B$11="Camden",$B$11="Fayetteville",$B$11="Fort Smith",$B$11="Harrison",$B$11="Hot Springs")),IF($B$11="Batesville",Conversions!D8,IF($B$11="Camden",Conversions!E8,IF($B$11="Fayetteville",Conversions!F8,IF($B$11="Fort Smith",Conversions!G8,IF($B$11="Harrison",Conversions!H8,IF($B$11="Hot Springs",Conversions!I8,ERROR)))))),IF($B$11="Jonesboro",Conversions!J8,IF($B$11="Little Rock",Conversions!K8,IF($B$11="Pine Bluff",Conversions!L8,IF($B$11="Russellville",Conversions!M8,IF($B$11="Texarkana",Conversions!N8,IF($B$11="West Memphis",Conversions!O8,ERROR)))))))</f>
        <v>155.73802870799733</v>
      </c>
      <c r="D21" s="831">
        <f>RequiredSpaces!H17</f>
        <v>0</v>
      </c>
      <c r="E21" s="399"/>
      <c r="F21" s="399"/>
      <c r="G21" s="825">
        <f>B21*E21+C23*F21</f>
        <v>0</v>
      </c>
    </row>
    <row r="22" spans="1:7" ht="13.8">
      <c r="A22" s="833" t="s">
        <v>589</v>
      </c>
      <c r="B22" s="827">
        <f>IF((OR($B$11="Batesville",$B$11="Camden",$B$11="Fayetteville",$B$11="Fort Smith",$B$11="Harrison",$B$11="Hot Springs")),IF($B$11="Batesville",Data!B10,IF($B$11="Camden",Data!C10,IF($B$11="Fayetteville",Data!D10,IF($B$11="Fort Smith",Data!E10,IF($B$11="Harrison",Data!F10,IF($B$11="Hot Springs",Data!G10,ERROR)))))),IF($B$11="Jonesboro",Data!H10,IF($B$11="Little Rock",Data!I10,IF($B$11="Pine Bluff",Data!J10,IF($B$11="Russellville",Data!K10,IF($B$11="Texarkana",Data!L10,IF($B$11="West Memphis",Data!M10,ERROR)))))))</f>
        <v>200</v>
      </c>
      <c r="C22" s="828">
        <f>IF((OR($B$11="Batesville",$B$11="Camden",$B$11="Fayetteville",$B$11="Fort Smith",$B$11="Harrison",$B$11="Hot Springs")),IF($B$11="Batesville",Conversions!D9,IF($B$11="Camden",Conversions!E9,IF($B$11="Fayetteville",Conversions!F9,IF($B$11="Fort Smith",Conversions!G9,IF($B$11="Harrison",Conversions!H9,IF($B$11="Hot Springs",Conversions!I9,ERROR)))))),IF($B$11="Jonesboro",Conversions!J9,IF($B$11="Little Rock",Conversions!K9,IF($B$11="Pine Bluff",Conversions!L9,IF($B$11="Russellville",Conversions!M9,IF($B$11="Texarkana",Conversions!N9,IF($B$11="West Memphis",Conversions!O9,ERROR)))))))</f>
        <v>182.06343300973171</v>
      </c>
      <c r="D22" s="829">
        <f>RequiredSpaces!H18</f>
        <v>0</v>
      </c>
      <c r="E22" s="399"/>
      <c r="F22" s="399"/>
      <c r="G22" s="825">
        <f>B22*E22+C21*F22</f>
        <v>0</v>
      </c>
    </row>
    <row r="23" spans="1:7" ht="13.8">
      <c r="A23" s="833" t="s">
        <v>221</v>
      </c>
      <c r="B23" s="827">
        <f>IF((OR($B$11="Batesville",$B$11="Camden",$B$11="Fayetteville",$B$11="Fort Smith",$B$11="Harrison",$B$11="Hot Springs")),IF($B$11="Batesville",Data!B11,IF($B$11="Camden",Data!C11,IF($B$11="Fayetteville",Data!D11,IF($B$11="Fort Smith",Data!E11,IF($B$11="Harrison",Data!F11,IF($B$11="Hot Springs",Data!G11,ERROR)))))),IF($B$11="Jonesboro",Data!H11,IF($B$11="Little Rock",Data!I11,IF($B$11="Pine Bluff",Data!J11,IF($B$11="Russellville",Data!K11,IF($B$11="Texarkana",Data!L11,IF($B$11="West Memphis",Data!M11,ERROR)))))))</f>
        <v>200</v>
      </c>
      <c r="C23" s="828">
        <f>IF((OR($B$11="Batesville",$B$11="Camden",$B$11="Fayetteville",$B$11="Fort Smith",$B$11="Harrison",$B$11="Hot Springs")),IF($B$11="Batesville",Conversions!D10,IF($B$11="Camden",Conversions!E10,IF($B$11="Fayetteville",Conversions!F10,IF($B$11="Fort Smith",Conversions!G10,IF($B$11="Harrison",Conversions!H10,IF($B$11="Hot Springs",Conversions!I10,ERROR)))))),IF($B$11="Jonesboro",Conversions!J10,IF($B$11="Little Rock",Conversions!K10,IF($B$11="Pine Bluff",Conversions!L10,IF($B$11="Russellville",Conversions!M10,IF($B$11="Texarkana",Conversions!N10,IF($B$11="West Memphis",Conversions!O10,ERROR)))))))</f>
        <v>177.75231356620253</v>
      </c>
      <c r="D23" s="829">
        <f>RequiredSpaces!H21</f>
        <v>0</v>
      </c>
      <c r="E23" s="399"/>
      <c r="F23" s="399"/>
      <c r="G23" s="825">
        <f>B23*E23+C22*F23</f>
        <v>0</v>
      </c>
    </row>
    <row r="24" spans="1:7" ht="13.8">
      <c r="A24" s="833" t="s">
        <v>604</v>
      </c>
      <c r="B24" s="828">
        <f>IF((OR($B$11="Batesville",$B$11="Camden",$B$11="Fayetteville",$B$11="Fort Smith",$B$11="Harrison",$B$11="Hot Springs")),IF($B$11="Batesville",Data!B12,IF($B$11="Camden",Data!C12,IF($B$11="Fayetteville",Data!D12,IF($B$11="Fort Smith",Data!E12,IF($B$11="Harrison",Data!F12,IF($B$11="Hot Springs",Data!G12,ERROR)))))),IF($B$11="Jonesboro",Data!H12,IF($B$11="Little Rock",Data!I12,IF($B$11="Pine Bluff",Data!J12,IF($B$11="Russellville",Data!K12,IF($B$11="Texarkana",Data!L12,IF($B$11="West Memphis",Data!M12,ERROR)))))))</f>
        <v>200</v>
      </c>
      <c r="C24" s="828">
        <f>IF((OR($B$11="Batesville",$B$11="Camden",$B$11="Fayetteville",$B$11="Fort Smith",$B$11="Harrison",$B$11="Hot Springs")),IF($B$11="Batesville",Conversions!D11,IF($B$11="Camden",Conversions!E11,IF($B$11="Fayetteville",Conversions!F11,IF($B$11="Fort Smith",Conversions!G11,IF($B$11="Harrison",Conversions!H11,IF($B$11="Hot Springs",Conversions!I11,ERROR)))))),IF($B$11="Jonesboro",Conversions!J11,IF($B$11="Little Rock",Conversions!K11,IF($B$11="Pine Bluff",Conversions!L11,IF($B$11="Russellville",Conversions!M11,IF($B$11="Texarkana",Conversions!N11,IF($B$11="West Memphis",Conversions!O11,ERROR)))))))</f>
        <v>144.81044560618338</v>
      </c>
      <c r="D24" s="829">
        <f>RequiredSpaces!H15</f>
        <v>0</v>
      </c>
      <c r="E24" s="399"/>
      <c r="F24" s="243"/>
      <c r="G24" s="825">
        <f>B24*E24+C23*F24</f>
        <v>0</v>
      </c>
    </row>
    <row r="25" spans="1:7" ht="13.8">
      <c r="A25" s="833" t="s">
        <v>461</v>
      </c>
      <c r="B25" s="243"/>
      <c r="C25" s="243"/>
      <c r="D25" s="411">
        <f>SUM(D15:D24)</f>
        <v>0</v>
      </c>
      <c r="E25" s="400"/>
      <c r="F25" s="243"/>
      <c r="G25" s="825">
        <f>SUM(G15:G24)</f>
        <v>0</v>
      </c>
    </row>
    <row r="27" spans="1:7">
      <c r="A27" s="83" t="s">
        <v>482</v>
      </c>
      <c r="C27" s="122" t="s">
        <v>2</v>
      </c>
      <c r="E27" s="823"/>
      <c r="F27" s="823"/>
      <c r="G27" s="825"/>
    </row>
    <row r="28" spans="1:7">
      <c r="B28" s="81" t="str">
        <f>IF(C27="NO", " ", "Demolition scope (square feet)")</f>
        <v>Demolition scope (square feet)</v>
      </c>
      <c r="C28" s="401"/>
      <c r="E28" s="14"/>
      <c r="F28" s="14"/>
      <c r="G28" s="825" t="e">
        <f>IF(C27="NO",0,C28*0.01*G$25/D$25)</f>
        <v>#DIV/0!</v>
      </c>
    </row>
    <row r="29" spans="1:7">
      <c r="E29" s="14"/>
      <c r="F29" s="14"/>
    </row>
    <row r="30" spans="1:7">
      <c r="A30" s="83" t="s">
        <v>483</v>
      </c>
      <c r="C30" s="122" t="s">
        <v>3</v>
      </c>
      <c r="E30" s="823"/>
      <c r="F30" s="823"/>
      <c r="G30" s="825"/>
    </row>
    <row r="31" spans="1:7">
      <c r="B31" s="81" t="str">
        <f>IF(C30="NO", " ", "Abatement scope (square feet)")</f>
        <v xml:space="preserve"> </v>
      </c>
      <c r="C31" s="401"/>
      <c r="G31" s="825">
        <f>IF(C30="NO",0,C31*0.01*G$25/D$25)</f>
        <v>0</v>
      </c>
    </row>
    <row r="33" spans="1:7">
      <c r="A33" s="81" t="s">
        <v>520</v>
      </c>
      <c r="G33" s="825" t="e">
        <f>G25+G28+G31</f>
        <v>#DIV/0!</v>
      </c>
    </row>
    <row r="35" spans="1:7" ht="15.6">
      <c r="A35" s="82" t="s">
        <v>484</v>
      </c>
      <c r="G35" s="826" t="e">
        <f>G33/D25</f>
        <v>#DIV/0!</v>
      </c>
    </row>
    <row r="37" spans="1:7">
      <c r="A37" s="81" t="s">
        <v>485</v>
      </c>
      <c r="B37" s="81" t="s">
        <v>517</v>
      </c>
    </row>
    <row r="38" spans="1:7">
      <c r="B38" s="81" t="s">
        <v>516</v>
      </c>
    </row>
  </sheetData>
  <sheetProtection password="F70F" sheet="1" objects="1" scenarios="1"/>
  <phoneticPr fontId="3" type="noConversion"/>
  <dataValidations count="2">
    <dataValidation type="list" allowBlank="1" showInputMessage="1" showErrorMessage="1" sqref="E27:F27 C27 C30 E30:F30" xr:uid="{00000000-0002-0000-0900-000000000000}">
      <formula1>"NO, YES"</formula1>
    </dataValidation>
    <dataValidation type="list" allowBlank="1" showInputMessage="1" showErrorMessage="1" sqref="B11" xr:uid="{00000000-0002-0000-0900-000001000000}">
      <formula1>"-, Batesville,Camden,Fayetteville,Fort Smith,Harrison,Hot Springs,Jonesboro,Little Rock,Pine Bluff,Russellville,Texarkana,West Memphis"</formula1>
    </dataValidation>
  </dataValidations>
  <pageMargins left="0.75" right="0.75" top="0.75" bottom="0.75" header="0.25" footer="0.25"/>
  <pageSetup scale="93" orientation="landscape" r:id="rId1"/>
  <headerFooter alignWithMargins="0">
    <oddFooter>&amp;LPrinted &amp;D at &amp;T&amp;RForm Revised 11/18/21
December 3, 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E33"/>
  <sheetViews>
    <sheetView topLeftCell="A21" workbookViewId="0">
      <selection activeCell="A14" sqref="A14:E26"/>
    </sheetView>
  </sheetViews>
  <sheetFormatPr defaultColWidth="9.109375" defaultRowHeight="13.2"/>
  <cols>
    <col min="1" max="1" width="47.88671875" style="81" customWidth="1"/>
    <col min="2" max="2" width="23" style="81" customWidth="1"/>
    <col min="3" max="3" width="9.109375" style="81"/>
    <col min="4" max="4" width="21" style="81" customWidth="1"/>
    <col min="5" max="5" width="43" style="81" customWidth="1"/>
    <col min="6" max="16384" width="9.109375" style="81"/>
  </cols>
  <sheetData>
    <row r="1" spans="1:5">
      <c r="A1" s="83" t="s">
        <v>8</v>
      </c>
    </row>
    <row r="3" spans="1:5">
      <c r="A3" s="12" t="s">
        <v>38</v>
      </c>
      <c r="B3" s="81">
        <f>Summary!C1</f>
        <v>0</v>
      </c>
    </row>
    <row r="4" spans="1:5">
      <c r="A4" s="12" t="s">
        <v>39</v>
      </c>
      <c r="B4" s="81">
        <f>Summary!C2</f>
        <v>0</v>
      </c>
    </row>
    <row r="5" spans="1:5">
      <c r="A5" s="12" t="s">
        <v>40</v>
      </c>
      <c r="B5" s="81">
        <f>Summary!C3</f>
        <v>0</v>
      </c>
    </row>
    <row r="6" spans="1:5">
      <c r="A6" s="12" t="s">
        <v>41</v>
      </c>
      <c r="B6" s="81">
        <f>Summary!C4</f>
        <v>0</v>
      </c>
    </row>
    <row r="8" spans="1:5">
      <c r="A8" s="81" t="s">
        <v>0</v>
      </c>
      <c r="B8" s="420">
        <f>Summary!G4</f>
        <v>0</v>
      </c>
    </row>
    <row r="9" spans="1:5">
      <c r="A9" s="81" t="s">
        <v>1</v>
      </c>
      <c r="B9" s="420">
        <f>Summary!G3</f>
        <v>0</v>
      </c>
    </row>
    <row r="11" spans="1:5">
      <c r="A11" s="421" t="s">
        <v>4</v>
      </c>
      <c r="B11" s="421" t="s">
        <v>5</v>
      </c>
      <c r="C11" s="421" t="s">
        <v>6</v>
      </c>
      <c r="D11" s="421" t="s">
        <v>843</v>
      </c>
      <c r="E11" s="421" t="s">
        <v>7</v>
      </c>
    </row>
    <row r="12" spans="1:5">
      <c r="A12" s="421"/>
      <c r="B12" s="421"/>
      <c r="C12" s="421"/>
      <c r="D12" s="421" t="s">
        <v>13</v>
      </c>
      <c r="E12" s="421"/>
    </row>
    <row r="14" spans="1:5">
      <c r="A14" s="770"/>
      <c r="B14" s="120"/>
      <c r="C14" s="120"/>
      <c r="D14" s="122"/>
      <c r="E14" s="772"/>
    </row>
    <row r="15" spans="1:5">
      <c r="A15" s="120"/>
      <c r="B15" s="120"/>
      <c r="C15" s="120"/>
      <c r="D15" s="122"/>
      <c r="E15" s="120"/>
    </row>
    <row r="16" spans="1:5">
      <c r="A16" s="120"/>
      <c r="B16" s="120"/>
      <c r="C16" s="120"/>
      <c r="D16" s="122"/>
      <c r="E16" s="120"/>
    </row>
    <row r="17" spans="1:5">
      <c r="A17" s="120"/>
      <c r="B17" s="120"/>
      <c r="C17" s="120"/>
      <c r="D17" s="122"/>
      <c r="E17" s="120"/>
    </row>
    <row r="18" spans="1:5">
      <c r="A18" s="120"/>
      <c r="B18" s="120"/>
      <c r="C18" s="120"/>
      <c r="D18" s="122"/>
      <c r="E18" s="120"/>
    </row>
    <row r="19" spans="1:5">
      <c r="A19" s="120"/>
      <c r="B19" s="120"/>
      <c r="C19" s="120"/>
      <c r="D19" s="122"/>
      <c r="E19" s="120"/>
    </row>
    <row r="20" spans="1:5">
      <c r="A20" s="120"/>
      <c r="B20" s="120"/>
      <c r="C20" s="120"/>
      <c r="D20" s="122"/>
      <c r="E20" s="120"/>
    </row>
    <row r="21" spans="1:5">
      <c r="A21" s="120"/>
      <c r="B21" s="120"/>
      <c r="C21" s="120"/>
      <c r="D21" s="122"/>
      <c r="E21" s="120"/>
    </row>
    <row r="22" spans="1:5">
      <c r="A22" s="120"/>
      <c r="B22" s="120"/>
      <c r="C22" s="120"/>
      <c r="D22" s="122"/>
      <c r="E22" s="120"/>
    </row>
    <row r="23" spans="1:5">
      <c r="A23" s="120"/>
      <c r="B23" s="120"/>
      <c r="C23" s="120"/>
      <c r="D23" s="122"/>
      <c r="E23" s="120"/>
    </row>
    <row r="24" spans="1:5">
      <c r="A24" s="120"/>
      <c r="B24" s="120"/>
      <c r="C24" s="120"/>
      <c r="D24" s="122"/>
      <c r="E24" s="120"/>
    </row>
    <row r="25" spans="1:5">
      <c r="A25" s="120"/>
      <c r="B25" s="120"/>
      <c r="C25" s="120"/>
      <c r="D25" s="122"/>
      <c r="E25" s="120"/>
    </row>
    <row r="26" spans="1:5">
      <c r="A26" s="120"/>
      <c r="B26" s="120"/>
      <c r="C26" s="120"/>
      <c r="D26" s="122"/>
      <c r="E26" s="120"/>
    </row>
    <row r="28" spans="1:5">
      <c r="A28" s="421" t="s">
        <v>9</v>
      </c>
    </row>
    <row r="31" spans="1:5">
      <c r="A31" s="81" t="s">
        <v>10</v>
      </c>
      <c r="B31" s="422">
        <v>0</v>
      </c>
    </row>
    <row r="32" spans="1:5">
      <c r="A32" s="81" t="s">
        <v>11</v>
      </c>
      <c r="B32" s="423">
        <f>SUMIFS(B14:B26,D14:D26,"=YES")</f>
        <v>0</v>
      </c>
    </row>
    <row r="33" spans="1:2">
      <c r="A33" s="81" t="s">
        <v>748</v>
      </c>
      <c r="B33" s="424">
        <f>B31-B32</f>
        <v>0</v>
      </c>
    </row>
  </sheetData>
  <phoneticPr fontId="3" type="noConversion"/>
  <dataValidations count="1">
    <dataValidation type="list" allowBlank="1" showInputMessage="1" showErrorMessage="1" sqref="D14:D26" xr:uid="{00000000-0002-0000-0A00-000000000000}">
      <formula1>"-,YES,NO"</formula1>
    </dataValidation>
  </dataValidations>
  <printOptions gridLines="1"/>
  <pageMargins left="0.5" right="0" top="1" bottom="1" header="0.5" footer="0.5"/>
  <pageSetup scale="93" orientation="landscape" r:id="rId1"/>
  <headerFooter alignWithMargins="0">
    <oddHeader>&amp;CDEMOLITION REVIEW</oddHeader>
    <oddFooter>&amp;LPrinted &amp;D at &amp;T&amp;RRevised October 23, 2013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0000"/>
    <pageSetUpPr fitToPage="1"/>
  </sheetPr>
  <dimension ref="A1:M14"/>
  <sheetViews>
    <sheetView workbookViewId="0">
      <selection activeCell="B3" sqref="B3:M12"/>
    </sheetView>
  </sheetViews>
  <sheetFormatPr defaultColWidth="9.109375" defaultRowHeight="15"/>
  <cols>
    <col min="1" max="1" width="50.6640625" style="132" customWidth="1"/>
    <col min="2" max="2" width="20.33203125" style="132" customWidth="1"/>
    <col min="3" max="3" width="21" style="132" bestFit="1" customWidth="1"/>
    <col min="4" max="4" width="17.44140625" style="132" customWidth="1"/>
    <col min="5" max="5" width="16.5546875" style="132" customWidth="1"/>
    <col min="6" max="6" width="15.88671875" style="132" customWidth="1"/>
    <col min="7" max="7" width="17.109375" style="132" customWidth="1"/>
    <col min="8" max="8" width="21.33203125" style="132" customWidth="1"/>
    <col min="9" max="9" width="16.88671875" style="132" customWidth="1"/>
    <col min="10" max="10" width="16.5546875" style="132" customWidth="1"/>
    <col min="11" max="11" width="16.6640625" style="132" customWidth="1"/>
    <col min="12" max="12" width="19.6640625" style="132" customWidth="1"/>
    <col min="13" max="13" width="21.109375" style="132" customWidth="1"/>
    <col min="14" max="14" width="14.5546875" style="132" bestFit="1" customWidth="1"/>
    <col min="15" max="16384" width="9.109375" style="132"/>
  </cols>
  <sheetData>
    <row r="1" spans="1:13" ht="34.5" customHeight="1" thickBot="1">
      <c r="A1" s="896" t="s">
        <v>497</v>
      </c>
      <c r="B1" s="896"/>
      <c r="C1" s="896"/>
      <c r="D1" s="896"/>
      <c r="E1" s="896"/>
      <c r="F1" s="896"/>
      <c r="G1" s="896"/>
      <c r="H1" s="896"/>
      <c r="I1" s="896"/>
      <c r="J1" s="896"/>
      <c r="K1" s="896"/>
      <c r="L1" s="896"/>
      <c r="M1" s="896"/>
    </row>
    <row r="2" spans="1:13" ht="21" customHeight="1" thickBot="1">
      <c r="A2" s="425" t="s">
        <v>475</v>
      </c>
      <c r="B2" s="133" t="s">
        <v>473</v>
      </c>
      <c r="C2" s="133" t="s">
        <v>486</v>
      </c>
      <c r="D2" s="133" t="s">
        <v>487</v>
      </c>
      <c r="E2" s="133" t="s">
        <v>488</v>
      </c>
      <c r="F2" s="133" t="s">
        <v>489</v>
      </c>
      <c r="G2" s="133" t="s">
        <v>490</v>
      </c>
      <c r="H2" s="133" t="s">
        <v>491</v>
      </c>
      <c r="I2" s="133" t="s">
        <v>492</v>
      </c>
      <c r="J2" s="133" t="s">
        <v>493</v>
      </c>
      <c r="K2" s="133" t="s">
        <v>494</v>
      </c>
      <c r="L2" s="133" t="s">
        <v>495</v>
      </c>
      <c r="M2" s="133" t="s">
        <v>496</v>
      </c>
    </row>
    <row r="3" spans="1:13" ht="16.2" thickBot="1">
      <c r="A3" s="133" t="s">
        <v>477</v>
      </c>
      <c r="B3" s="834">
        <v>200</v>
      </c>
      <c r="C3" s="834">
        <v>200</v>
      </c>
      <c r="D3" s="834">
        <v>200</v>
      </c>
      <c r="E3" s="834">
        <v>200</v>
      </c>
      <c r="F3" s="834">
        <v>200</v>
      </c>
      <c r="G3" s="834">
        <v>200</v>
      </c>
      <c r="H3" s="834">
        <v>200</v>
      </c>
      <c r="I3" s="834">
        <v>200</v>
      </c>
      <c r="J3" s="834">
        <v>200</v>
      </c>
      <c r="K3" s="834">
        <v>200</v>
      </c>
      <c r="L3" s="834">
        <v>200</v>
      </c>
      <c r="M3" s="834">
        <v>200</v>
      </c>
    </row>
    <row r="4" spans="1:13" ht="16.2" thickBot="1">
      <c r="A4" s="134" t="s">
        <v>478</v>
      </c>
      <c r="B4" s="834">
        <v>200</v>
      </c>
      <c r="C4" s="834">
        <v>200</v>
      </c>
      <c r="D4" s="834">
        <v>200</v>
      </c>
      <c r="E4" s="834">
        <v>200</v>
      </c>
      <c r="F4" s="834">
        <v>200</v>
      </c>
      <c r="G4" s="834">
        <v>200</v>
      </c>
      <c r="H4" s="834">
        <v>200</v>
      </c>
      <c r="I4" s="834">
        <v>200</v>
      </c>
      <c r="J4" s="834">
        <v>200</v>
      </c>
      <c r="K4" s="834">
        <v>200</v>
      </c>
      <c r="L4" s="834">
        <v>200</v>
      </c>
      <c r="M4" s="834">
        <v>200</v>
      </c>
    </row>
    <row r="5" spans="1:13" ht="16.2" thickBot="1">
      <c r="A5" s="134" t="s">
        <v>220</v>
      </c>
      <c r="B5" s="834">
        <v>200</v>
      </c>
      <c r="C5" s="834">
        <v>200</v>
      </c>
      <c r="D5" s="834">
        <v>200</v>
      </c>
      <c r="E5" s="834">
        <v>200</v>
      </c>
      <c r="F5" s="834">
        <v>200</v>
      </c>
      <c r="G5" s="834">
        <v>200</v>
      </c>
      <c r="H5" s="834">
        <v>200</v>
      </c>
      <c r="I5" s="834">
        <v>200</v>
      </c>
      <c r="J5" s="834">
        <v>200</v>
      </c>
      <c r="K5" s="834">
        <v>200</v>
      </c>
      <c r="L5" s="834">
        <v>200</v>
      </c>
      <c r="M5" s="834">
        <v>200</v>
      </c>
    </row>
    <row r="6" spans="1:13" ht="16.2" thickBot="1">
      <c r="A6" s="134" t="s">
        <v>479</v>
      </c>
      <c r="B6" s="834">
        <v>200</v>
      </c>
      <c r="C6" s="834">
        <v>200</v>
      </c>
      <c r="D6" s="834">
        <v>200</v>
      </c>
      <c r="E6" s="834">
        <v>200</v>
      </c>
      <c r="F6" s="834">
        <v>200</v>
      </c>
      <c r="G6" s="834">
        <v>200</v>
      </c>
      <c r="H6" s="834">
        <v>200</v>
      </c>
      <c r="I6" s="834">
        <v>200</v>
      </c>
      <c r="J6" s="834">
        <v>200</v>
      </c>
      <c r="K6" s="834">
        <v>200</v>
      </c>
      <c r="L6" s="834">
        <v>200</v>
      </c>
      <c r="M6" s="834">
        <v>200</v>
      </c>
    </row>
    <row r="7" spans="1:13" ht="16.2" thickBot="1">
      <c r="A7" s="134" t="s">
        <v>480</v>
      </c>
      <c r="B7" s="834">
        <v>200</v>
      </c>
      <c r="C7" s="834">
        <v>200</v>
      </c>
      <c r="D7" s="834">
        <v>200</v>
      </c>
      <c r="E7" s="834">
        <v>200</v>
      </c>
      <c r="F7" s="834">
        <v>200</v>
      </c>
      <c r="G7" s="834">
        <v>200</v>
      </c>
      <c r="H7" s="834">
        <v>200</v>
      </c>
      <c r="I7" s="834">
        <v>200</v>
      </c>
      <c r="J7" s="834">
        <v>200</v>
      </c>
      <c r="K7" s="834">
        <v>200</v>
      </c>
      <c r="L7" s="834">
        <v>200</v>
      </c>
      <c r="M7" s="834">
        <v>200</v>
      </c>
    </row>
    <row r="8" spans="1:13" ht="16.2" thickBot="1">
      <c r="A8" s="134" t="s">
        <v>219</v>
      </c>
      <c r="B8" s="834">
        <v>200</v>
      </c>
      <c r="C8" s="834">
        <v>200</v>
      </c>
      <c r="D8" s="834">
        <v>200</v>
      </c>
      <c r="E8" s="834">
        <v>200</v>
      </c>
      <c r="F8" s="834">
        <v>200</v>
      </c>
      <c r="G8" s="834">
        <v>200</v>
      </c>
      <c r="H8" s="834">
        <v>200</v>
      </c>
      <c r="I8" s="834">
        <v>200</v>
      </c>
      <c r="J8" s="834">
        <v>200</v>
      </c>
      <c r="K8" s="834">
        <v>200</v>
      </c>
      <c r="L8" s="834">
        <v>200</v>
      </c>
      <c r="M8" s="834">
        <v>200</v>
      </c>
    </row>
    <row r="9" spans="1:13" ht="16.2" thickBot="1">
      <c r="A9" s="134" t="s">
        <v>481</v>
      </c>
      <c r="B9" s="834">
        <v>200</v>
      </c>
      <c r="C9" s="834">
        <v>200</v>
      </c>
      <c r="D9" s="834">
        <v>200</v>
      </c>
      <c r="E9" s="834">
        <v>200</v>
      </c>
      <c r="F9" s="834">
        <v>200</v>
      </c>
      <c r="G9" s="834">
        <v>200</v>
      </c>
      <c r="H9" s="834">
        <v>200</v>
      </c>
      <c r="I9" s="834">
        <v>200</v>
      </c>
      <c r="J9" s="834">
        <v>200</v>
      </c>
      <c r="K9" s="834">
        <v>200</v>
      </c>
      <c r="L9" s="834">
        <v>200</v>
      </c>
      <c r="M9" s="834">
        <v>200</v>
      </c>
    </row>
    <row r="10" spans="1:13" ht="16.2" thickBot="1">
      <c r="A10" s="134" t="s">
        <v>171</v>
      </c>
      <c r="B10" s="834">
        <v>200</v>
      </c>
      <c r="C10" s="834">
        <v>200</v>
      </c>
      <c r="D10" s="834">
        <v>200</v>
      </c>
      <c r="E10" s="834">
        <v>200</v>
      </c>
      <c r="F10" s="834">
        <v>200</v>
      </c>
      <c r="G10" s="834">
        <v>200</v>
      </c>
      <c r="H10" s="834">
        <v>200</v>
      </c>
      <c r="I10" s="834">
        <v>200</v>
      </c>
      <c r="J10" s="834">
        <v>200</v>
      </c>
      <c r="K10" s="834">
        <v>200</v>
      </c>
      <c r="L10" s="834">
        <v>200</v>
      </c>
      <c r="M10" s="834">
        <v>200</v>
      </c>
    </row>
    <row r="11" spans="1:13" ht="16.2" thickBot="1">
      <c r="A11" s="135" t="s">
        <v>221</v>
      </c>
      <c r="B11" s="834">
        <v>200</v>
      </c>
      <c r="C11" s="834">
        <v>200</v>
      </c>
      <c r="D11" s="834">
        <v>200</v>
      </c>
      <c r="E11" s="834">
        <v>200</v>
      </c>
      <c r="F11" s="834">
        <v>200</v>
      </c>
      <c r="G11" s="834">
        <v>200</v>
      </c>
      <c r="H11" s="834">
        <v>200</v>
      </c>
      <c r="I11" s="834">
        <v>200</v>
      </c>
      <c r="J11" s="834">
        <v>200</v>
      </c>
      <c r="K11" s="834">
        <v>200</v>
      </c>
      <c r="L11" s="834">
        <v>200</v>
      </c>
      <c r="M11" s="834">
        <v>200</v>
      </c>
    </row>
    <row r="12" spans="1:13" ht="16.2" thickBot="1">
      <c r="A12" s="134" t="s">
        <v>604</v>
      </c>
      <c r="B12" s="834">
        <v>200</v>
      </c>
      <c r="C12" s="834">
        <v>200</v>
      </c>
      <c r="D12" s="834">
        <v>200</v>
      </c>
      <c r="E12" s="834">
        <v>200</v>
      </c>
      <c r="F12" s="834">
        <v>200</v>
      </c>
      <c r="G12" s="834">
        <v>200</v>
      </c>
      <c r="H12" s="834">
        <v>200</v>
      </c>
      <c r="I12" s="834">
        <v>200</v>
      </c>
      <c r="J12" s="834">
        <v>200</v>
      </c>
      <c r="K12" s="834">
        <v>200</v>
      </c>
      <c r="L12" s="834">
        <v>200</v>
      </c>
      <c r="M12" s="834">
        <v>200</v>
      </c>
    </row>
    <row r="14" spans="1:13" s="139" customFormat="1" ht="15.6">
      <c r="A14" s="136"/>
      <c r="B14" s="137"/>
      <c r="C14" s="138"/>
    </row>
  </sheetData>
  <mergeCells count="1">
    <mergeCell ref="A1:M1"/>
  </mergeCells>
  <phoneticPr fontId="0" type="noConversion"/>
  <pageMargins left="0.75" right="0.75" top="1" bottom="1" header="0.5" footer="0.5"/>
  <pageSetup paperSize="3" scale="74" orientation="landscape" r:id="rId1"/>
  <headerFooter alignWithMargins="0">
    <oddFooter>&amp;LPrinted &amp;D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0000"/>
  </sheetPr>
  <dimension ref="A1:O34"/>
  <sheetViews>
    <sheetView topLeftCell="C1" workbookViewId="0">
      <selection activeCell="J17" sqref="J17"/>
    </sheetView>
  </sheetViews>
  <sheetFormatPr defaultColWidth="9.109375" defaultRowHeight="13.2"/>
  <cols>
    <col min="1" max="1" width="32.33203125" style="131" customWidth="1"/>
    <col min="2" max="2" width="42.5546875" style="151" bestFit="1" customWidth="1"/>
    <col min="3" max="3" width="7.88671875" style="143" bestFit="1" customWidth="1"/>
    <col min="4" max="7" width="19.33203125" style="142" customWidth="1"/>
    <col min="8" max="8" width="21" style="142" customWidth="1"/>
    <col min="9" max="12" width="19.33203125" style="142" customWidth="1"/>
    <col min="13" max="13" width="24.109375" style="142" customWidth="1"/>
    <col min="14" max="14" width="22.44140625" style="142" customWidth="1"/>
    <col min="15" max="15" width="19.33203125" style="142" customWidth="1"/>
    <col min="16" max="16384" width="9.109375" style="131"/>
  </cols>
  <sheetData>
    <row r="1" spans="1:15" s="139" customFormat="1" ht="32.4" thickBot="1">
      <c r="A1" s="896" t="s">
        <v>513</v>
      </c>
      <c r="B1" s="896"/>
      <c r="C1" s="896"/>
      <c r="D1" s="896"/>
      <c r="E1" s="896"/>
      <c r="F1" s="896"/>
      <c r="G1" s="896"/>
      <c r="H1" s="896"/>
      <c r="I1" s="896"/>
      <c r="J1" s="896"/>
      <c r="K1" s="896"/>
      <c r="L1" s="896"/>
      <c r="M1" s="896"/>
      <c r="N1" s="896"/>
      <c r="O1" s="896"/>
    </row>
    <row r="2" spans="1:15" s="139" customFormat="1" ht="18.600000000000001" thickBot="1">
      <c r="A2" s="144" t="s">
        <v>502</v>
      </c>
      <c r="B2" s="145"/>
      <c r="C2" s="426" t="s">
        <v>503</v>
      </c>
      <c r="D2" s="146" t="s">
        <v>473</v>
      </c>
      <c r="E2" s="146" t="s">
        <v>486</v>
      </c>
      <c r="F2" s="146" t="s">
        <v>487</v>
      </c>
      <c r="G2" s="146" t="s">
        <v>488</v>
      </c>
      <c r="H2" s="146" t="s">
        <v>489</v>
      </c>
      <c r="I2" s="146" t="s">
        <v>490</v>
      </c>
      <c r="J2" s="146" t="s">
        <v>491</v>
      </c>
      <c r="K2" s="146" t="s">
        <v>492</v>
      </c>
      <c r="L2" s="146" t="s">
        <v>493</v>
      </c>
      <c r="M2" s="146" t="s">
        <v>494</v>
      </c>
      <c r="N2" s="146" t="s">
        <v>495</v>
      </c>
      <c r="O2" s="146" t="s">
        <v>496</v>
      </c>
    </row>
    <row r="3" spans="1:15" s="139" customFormat="1" ht="15.6">
      <c r="A3" s="147" t="s">
        <v>504</v>
      </c>
      <c r="B3" s="148" t="s">
        <v>505</v>
      </c>
      <c r="C3" s="427" t="s">
        <v>506</v>
      </c>
      <c r="D3" s="835">
        <v>150.86598887061132</v>
      </c>
      <c r="E3" s="835">
        <v>151.37127316728066</v>
      </c>
      <c r="F3" s="835">
        <v>151.10509741083644</v>
      </c>
      <c r="G3" s="835">
        <v>154.39284287807226</v>
      </c>
      <c r="H3" s="835">
        <v>152.08549092218573</v>
      </c>
      <c r="I3" s="835">
        <v>149.61364275540211</v>
      </c>
      <c r="J3" s="835">
        <v>157.05977472709802</v>
      </c>
      <c r="K3" s="835">
        <v>157.2977508288028</v>
      </c>
      <c r="L3" s="835">
        <v>154.41125423573098</v>
      </c>
      <c r="M3" s="835">
        <v>150.79914477934921</v>
      </c>
      <c r="N3" s="835">
        <v>152.67310441826467</v>
      </c>
      <c r="O3" s="835">
        <v>156.77787228972099</v>
      </c>
    </row>
    <row r="4" spans="1:15" s="139" customFormat="1" ht="15.6">
      <c r="A4" s="149" t="s">
        <v>504</v>
      </c>
      <c r="B4" s="150" t="s">
        <v>507</v>
      </c>
      <c r="C4" s="427" t="s">
        <v>506</v>
      </c>
      <c r="D4" s="835">
        <v>149.54046099180349</v>
      </c>
      <c r="E4" s="835">
        <v>150.04130579600027</v>
      </c>
      <c r="F4" s="835">
        <v>149.77746869380456</v>
      </c>
      <c r="G4" s="835">
        <v>153.03632760875726</v>
      </c>
      <c r="H4" s="835">
        <v>150.7492483423394</v>
      </c>
      <c r="I4" s="835">
        <v>148.2991181497776</v>
      </c>
      <c r="J4" s="835">
        <v>155.67982745337153</v>
      </c>
      <c r="K4" s="835">
        <v>155.91571266660196</v>
      </c>
      <c r="L4" s="835">
        <v>153.05457720187226</v>
      </c>
      <c r="M4" s="835">
        <v>149.4742042012787</v>
      </c>
      <c r="N4" s="835">
        <v>151.33169899106721</v>
      </c>
      <c r="O4" s="835">
        <v>155.40040184687368</v>
      </c>
    </row>
    <row r="5" spans="1:15" s="139" customFormat="1" ht="15.6">
      <c r="A5" s="149" t="s">
        <v>504</v>
      </c>
      <c r="B5" s="150" t="s">
        <v>508</v>
      </c>
      <c r="C5" s="427" t="s">
        <v>506</v>
      </c>
      <c r="D5" s="835">
        <v>185.06138248846972</v>
      </c>
      <c r="E5" s="835">
        <v>185.6811948874826</v>
      </c>
      <c r="F5" s="835">
        <v>185.35468754251212</v>
      </c>
      <c r="G5" s="835">
        <v>189.38763576358986</v>
      </c>
      <c r="H5" s="835">
        <v>186.55729775274733</v>
      </c>
      <c r="I5" s="835">
        <v>183.52517870145536</v>
      </c>
      <c r="J5" s="835">
        <v>192.65905630494547</v>
      </c>
      <c r="K5" s="835">
        <v>192.95097224113741</v>
      </c>
      <c r="L5" s="835">
        <v>189.41022025282643</v>
      </c>
      <c r="M5" s="835">
        <v>184.97938746737347</v>
      </c>
      <c r="N5" s="835">
        <v>187.27810014676146</v>
      </c>
      <c r="O5" s="835">
        <v>192.31325765822328</v>
      </c>
    </row>
    <row r="6" spans="1:15" s="139" customFormat="1" ht="15.6">
      <c r="A6" s="149" t="s">
        <v>504</v>
      </c>
      <c r="B6" s="150" t="s">
        <v>509</v>
      </c>
      <c r="C6" s="427" t="s">
        <v>506</v>
      </c>
      <c r="D6" s="835">
        <v>193.78968708179798</v>
      </c>
      <c r="E6" s="835">
        <v>194.43873254573543</v>
      </c>
      <c r="F6" s="835">
        <v>194.09682568563892</v>
      </c>
      <c r="G6" s="835">
        <v>198.31998539227541</v>
      </c>
      <c r="H6" s="835">
        <v>195.35615625579382</v>
      </c>
      <c r="I6" s="835">
        <v>192.18102920203788</v>
      </c>
      <c r="J6" s="835">
        <v>200</v>
      </c>
      <c r="K6" s="835">
        <v>200</v>
      </c>
      <c r="L6" s="835">
        <v>198.34363506485002</v>
      </c>
      <c r="M6" s="835">
        <v>193.70382481671137</v>
      </c>
      <c r="N6" s="835">
        <v>196.11095484481075</v>
      </c>
      <c r="O6" s="835">
        <v>200</v>
      </c>
    </row>
    <row r="7" spans="1:15" s="139" customFormat="1" ht="15.6">
      <c r="A7" s="149" t="s">
        <v>504</v>
      </c>
      <c r="B7" s="150" t="s">
        <v>510</v>
      </c>
      <c r="C7" s="427" t="s">
        <v>506</v>
      </c>
      <c r="D7" s="835">
        <v>195.35582097233802</v>
      </c>
      <c r="E7" s="835">
        <v>196.01011177266494</v>
      </c>
      <c r="F7" s="835">
        <v>195.66544175252082</v>
      </c>
      <c r="G7" s="835">
        <v>199.92273141540693</v>
      </c>
      <c r="H7" s="835">
        <v>196.93494974911678</v>
      </c>
      <c r="I7" s="835">
        <v>193.73416253686355</v>
      </c>
      <c r="J7" s="835">
        <v>200</v>
      </c>
      <c r="K7" s="835">
        <v>200</v>
      </c>
      <c r="L7" s="835">
        <v>199.94657221556051</v>
      </c>
      <c r="M7" s="835">
        <v>195.26926480137183</v>
      </c>
      <c r="N7" s="835">
        <v>197.69584833070087</v>
      </c>
      <c r="O7" s="835">
        <v>200</v>
      </c>
    </row>
    <row r="8" spans="1:15" s="139" customFormat="1" ht="15.6">
      <c r="A8" s="149" t="s">
        <v>504</v>
      </c>
      <c r="B8" s="150" t="s">
        <v>511</v>
      </c>
      <c r="C8" s="427" t="s">
        <v>506</v>
      </c>
      <c r="D8" s="835">
        <v>153.89463517701836</v>
      </c>
      <c r="E8" s="835">
        <v>154.41006309472687</v>
      </c>
      <c r="F8" s="835">
        <v>154.13854383954143</v>
      </c>
      <c r="G8" s="835">
        <v>157.4922910493853</v>
      </c>
      <c r="H8" s="835">
        <v>155.13861882588188</v>
      </c>
      <c r="I8" s="835">
        <v>152.61714811742152</v>
      </c>
      <c r="J8" s="835">
        <v>160.21276175998261</v>
      </c>
      <c r="K8" s="835">
        <v>160.45551525019511</v>
      </c>
      <c r="L8" s="835">
        <v>157.51107201646226</v>
      </c>
      <c r="M8" s="835">
        <v>153.82644918549349</v>
      </c>
      <c r="N8" s="835">
        <v>155.73802870799733</v>
      </c>
      <c r="O8" s="835">
        <v>159.9252001095376</v>
      </c>
    </row>
    <row r="9" spans="1:15" s="139" customFormat="1" ht="15.6">
      <c r="A9" s="149" t="s">
        <v>504</v>
      </c>
      <c r="B9" s="150" t="s">
        <v>512</v>
      </c>
      <c r="C9" s="427" t="s">
        <v>506</v>
      </c>
      <c r="D9" s="835">
        <v>179.90843877086647</v>
      </c>
      <c r="E9" s="835">
        <v>180.51099279665939</v>
      </c>
      <c r="F9" s="835">
        <v>180.19357688907795</v>
      </c>
      <c r="G9" s="835">
        <v>184.11422963867599</v>
      </c>
      <c r="H9" s="835">
        <v>181.36270100597363</v>
      </c>
      <c r="I9" s="835">
        <v>178.41500982724094</v>
      </c>
      <c r="J9" s="835">
        <v>187.29455907447763</v>
      </c>
      <c r="K9" s="835">
        <v>187.57834675414603</v>
      </c>
      <c r="L9" s="835">
        <v>184.13618527385151</v>
      </c>
      <c r="M9" s="835">
        <v>179.82872686104466</v>
      </c>
      <c r="N9" s="835">
        <v>182.06343300973171</v>
      </c>
      <c r="O9" s="835">
        <v>186.95838902201012</v>
      </c>
    </row>
    <row r="10" spans="1:15" s="139" customFormat="1" ht="15.6">
      <c r="A10" s="149" t="s">
        <v>504</v>
      </c>
      <c r="B10" s="428" t="s">
        <v>739</v>
      </c>
      <c r="C10" s="427" t="s">
        <v>506</v>
      </c>
      <c r="D10" s="835">
        <v>175.64834790243492</v>
      </c>
      <c r="E10" s="835">
        <v>176.23663392100957</v>
      </c>
      <c r="F10" s="835">
        <v>175.92673417341825</v>
      </c>
      <c r="G10" s="835">
        <v>179.75454893781142</v>
      </c>
      <c r="H10" s="835">
        <v>177.06817434725659</v>
      </c>
      <c r="I10" s="835">
        <v>174.19028218606456</v>
      </c>
      <c r="J10" s="835">
        <v>182.85957066442151</v>
      </c>
      <c r="K10" s="835">
        <v>183.13663847418832</v>
      </c>
      <c r="L10" s="835">
        <v>179.77598468074859</v>
      </c>
      <c r="M10" s="835">
        <v>175.57052350818185</v>
      </c>
      <c r="N10" s="835">
        <v>177.75231356620253</v>
      </c>
      <c r="O10" s="835">
        <v>182.53136085540069</v>
      </c>
    </row>
    <row r="11" spans="1:15" s="139" customFormat="1" ht="15.6">
      <c r="A11" s="429" t="s">
        <v>504</v>
      </c>
      <c r="B11" s="430" t="s">
        <v>740</v>
      </c>
      <c r="C11" s="431" t="s">
        <v>506</v>
      </c>
      <c r="D11" s="835">
        <v>143.09639643744035</v>
      </c>
      <c r="E11" s="835">
        <v>143.57565861290536</v>
      </c>
      <c r="F11" s="835">
        <v>143.32319089734327</v>
      </c>
      <c r="G11" s="835">
        <v>146.44161760363329</v>
      </c>
      <c r="H11" s="835">
        <v>144.25309418180748</v>
      </c>
      <c r="I11" s="835">
        <v>141.90854609741058</v>
      </c>
      <c r="J11" s="835">
        <v>148.97120256838724</v>
      </c>
      <c r="K11" s="835">
        <v>149.19692291030856</v>
      </c>
      <c r="L11" s="835">
        <v>146.45908077710405</v>
      </c>
      <c r="M11" s="835">
        <v>143.03299481422258</v>
      </c>
      <c r="N11" s="835">
        <v>144.81044560618338</v>
      </c>
      <c r="O11" s="835">
        <v>148.70381809533558</v>
      </c>
    </row>
    <row r="12" spans="1:15" s="139" customFormat="1" ht="73.5" customHeight="1">
      <c r="A12" s="136"/>
      <c r="B12" s="137"/>
      <c r="C12" s="138"/>
    </row>
    <row r="13" spans="1:15" s="139" customFormat="1" ht="15.6">
      <c r="A13" s="137"/>
      <c r="B13" s="137"/>
      <c r="C13" s="138"/>
    </row>
    <row r="14" spans="1:15" s="132" customFormat="1" ht="15"/>
    <row r="15" spans="1:15" s="132" customFormat="1" ht="15"/>
    <row r="16" spans="1:15" s="132" customFormat="1" ht="15"/>
    <row r="17" s="132" customFormat="1" ht="15"/>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sheetData>
  <mergeCells count="1">
    <mergeCell ref="A1:O1"/>
  </mergeCells>
  <phoneticPr fontId="0" type="noConversion"/>
  <pageMargins left="0.75" right="0.75" top="1" bottom="1" header="0.5" footer="0.5"/>
  <pageSetup orientation="portrait" r:id="rId1"/>
  <headerFooter alignWithMargins="0">
    <oddFooter>&amp;LPrinted &amp;D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F40"/>
  <sheetViews>
    <sheetView workbookViewId="0">
      <selection activeCell="I42" sqref="I42"/>
    </sheetView>
  </sheetViews>
  <sheetFormatPr defaultRowHeight="13.2"/>
  <cols>
    <col min="1" max="1" width="18.33203125" customWidth="1"/>
    <col min="2" max="2" width="18.6640625" customWidth="1"/>
    <col min="3" max="3" width="10.88671875" customWidth="1"/>
    <col min="4" max="4" width="10.6640625" customWidth="1"/>
    <col min="5" max="5" width="30.33203125" customWidth="1"/>
  </cols>
  <sheetData>
    <row r="1" spans="1:6">
      <c r="A1" s="5" t="s">
        <v>615</v>
      </c>
      <c r="B1">
        <f>Summary!C1</f>
        <v>0</v>
      </c>
      <c r="D1" s="5" t="s">
        <v>616</v>
      </c>
    </row>
    <row r="2" spans="1:6">
      <c r="A2" s="5" t="s">
        <v>617</v>
      </c>
      <c r="B2">
        <f>Summary!C4</f>
        <v>0</v>
      </c>
    </row>
    <row r="3" spans="1:6">
      <c r="A3" s="5" t="s">
        <v>618</v>
      </c>
      <c r="B3">
        <f>Summary!C3</f>
        <v>0</v>
      </c>
    </row>
    <row r="4" spans="1:6">
      <c r="A4" s="5" t="s">
        <v>619</v>
      </c>
      <c r="B4">
        <f>Summary!G3</f>
        <v>0</v>
      </c>
    </row>
    <row r="5" spans="1:6">
      <c r="A5" s="5" t="s">
        <v>463</v>
      </c>
      <c r="B5" s="184">
        <f>Summary!G4</f>
        <v>0</v>
      </c>
    </row>
    <row r="8" spans="1:6" ht="37.5" customHeight="1">
      <c r="A8" s="185" t="s">
        <v>620</v>
      </c>
      <c r="B8" s="185" t="s">
        <v>4</v>
      </c>
      <c r="C8" s="185" t="s">
        <v>621</v>
      </c>
      <c r="D8" s="185" t="s">
        <v>622</v>
      </c>
      <c r="E8" s="185" t="s">
        <v>623</v>
      </c>
      <c r="F8" s="5"/>
    </row>
    <row r="9" spans="1:6">
      <c r="A9" s="404"/>
      <c r="B9" s="404"/>
      <c r="C9" s="406"/>
      <c r="D9" s="406"/>
      <c r="E9" s="405"/>
    </row>
    <row r="10" spans="1:6">
      <c r="A10" s="401"/>
      <c r="B10" s="401"/>
      <c r="C10" s="402">
        <v>0</v>
      </c>
      <c r="D10" s="402">
        <v>0</v>
      </c>
      <c r="E10" s="403"/>
    </row>
    <row r="11" spans="1:6">
      <c r="A11" s="401"/>
      <c r="B11" s="401"/>
      <c r="C11" s="402">
        <v>0</v>
      </c>
      <c r="D11" s="402">
        <v>0</v>
      </c>
      <c r="E11" s="403"/>
    </row>
    <row r="12" spans="1:6">
      <c r="A12" s="401"/>
      <c r="B12" s="401"/>
      <c r="C12" s="402">
        <v>0</v>
      </c>
      <c r="D12" s="402">
        <v>0</v>
      </c>
      <c r="E12" s="403"/>
    </row>
    <row r="13" spans="1:6">
      <c r="A13" s="401"/>
      <c r="B13" s="401"/>
      <c r="C13" s="402">
        <v>0</v>
      </c>
      <c r="D13" s="402">
        <v>0</v>
      </c>
      <c r="E13" s="403"/>
    </row>
    <row r="14" spans="1:6">
      <c r="A14" s="401"/>
      <c r="B14" s="401"/>
      <c r="C14" s="402">
        <v>0</v>
      </c>
      <c r="D14" s="402">
        <v>0</v>
      </c>
      <c r="E14" s="403"/>
    </row>
    <row r="15" spans="1:6">
      <c r="A15" s="401"/>
      <c r="B15" s="401"/>
      <c r="C15" s="402">
        <v>0</v>
      </c>
      <c r="D15" s="402">
        <v>0</v>
      </c>
      <c r="E15" s="403"/>
    </row>
    <row r="16" spans="1:6">
      <c r="A16" s="401"/>
      <c r="B16" s="401"/>
      <c r="C16" s="402">
        <v>0</v>
      </c>
      <c r="D16" s="402">
        <v>0</v>
      </c>
      <c r="E16" s="403"/>
    </row>
    <row r="17" spans="1:5">
      <c r="A17" s="401"/>
      <c r="B17" s="401"/>
      <c r="C17" s="402">
        <v>0</v>
      </c>
      <c r="D17" s="402">
        <v>0</v>
      </c>
      <c r="E17" s="403"/>
    </row>
    <row r="18" spans="1:5">
      <c r="A18" s="401"/>
      <c r="B18" s="401"/>
      <c r="C18" s="402">
        <v>0</v>
      </c>
      <c r="D18" s="402">
        <v>0</v>
      </c>
      <c r="E18" s="403"/>
    </row>
    <row r="19" spans="1:5">
      <c r="A19" s="401"/>
      <c r="B19" s="401"/>
      <c r="C19" s="402">
        <v>0</v>
      </c>
      <c r="D19" s="402">
        <v>0</v>
      </c>
      <c r="E19" s="403"/>
    </row>
    <row r="20" spans="1:5">
      <c r="A20" s="401"/>
      <c r="B20" s="401"/>
      <c r="C20" s="402">
        <v>0</v>
      </c>
      <c r="D20" s="402">
        <v>0</v>
      </c>
      <c r="E20" s="403"/>
    </row>
    <row r="21" spans="1:5">
      <c r="A21" s="401"/>
      <c r="B21" s="401"/>
      <c r="C21" s="402">
        <v>0</v>
      </c>
      <c r="D21" s="402">
        <v>0</v>
      </c>
      <c r="E21" s="403"/>
    </row>
    <row r="23" spans="1:5">
      <c r="A23" s="898" t="s">
        <v>624</v>
      </c>
      <c r="B23" s="898"/>
      <c r="C23" s="9">
        <f>SUM(C9:C21)</f>
        <v>0</v>
      </c>
    </row>
    <row r="24" spans="1:5">
      <c r="A24" s="898" t="s">
        <v>625</v>
      </c>
      <c r="B24" s="899"/>
      <c r="C24" s="899"/>
      <c r="D24" s="9">
        <f>SUM(D9:D21)</f>
        <v>0</v>
      </c>
    </row>
    <row r="25" spans="1:5">
      <c r="A25" s="898" t="s">
        <v>626</v>
      </c>
      <c r="B25" s="898"/>
      <c r="C25" s="9">
        <f>C23+D24</f>
        <v>0</v>
      </c>
    </row>
    <row r="27" spans="1:5">
      <c r="A27" s="898" t="s">
        <v>627</v>
      </c>
      <c r="B27" s="898"/>
      <c r="C27" s="407"/>
    </row>
    <row r="28" spans="1:5">
      <c r="A28" s="898" t="s">
        <v>628</v>
      </c>
      <c r="B28" s="898"/>
      <c r="C28" s="408"/>
    </row>
    <row r="29" spans="1:5">
      <c r="A29" s="897" t="s">
        <v>838</v>
      </c>
      <c r="B29" s="897"/>
      <c r="C29" s="188">
        <f>C27-C28</f>
        <v>0</v>
      </c>
    </row>
    <row r="32" spans="1:5">
      <c r="A32" s="901" t="s">
        <v>629</v>
      </c>
      <c r="B32" s="900"/>
      <c r="C32" s="900"/>
      <c r="D32" s="900"/>
      <c r="E32" s="902"/>
    </row>
    <row r="33" spans="1:5">
      <c r="A33" s="900"/>
      <c r="B33" s="900"/>
      <c r="C33" s="900"/>
      <c r="D33" s="900"/>
      <c r="E33" s="900"/>
    </row>
    <row r="34" spans="1:5">
      <c r="A34" s="900"/>
      <c r="B34" s="900"/>
      <c r="C34" s="900"/>
      <c r="D34" s="900"/>
      <c r="E34" s="900"/>
    </row>
    <row r="35" spans="1:5">
      <c r="A35" s="900"/>
      <c r="B35" s="900"/>
      <c r="C35" s="900"/>
      <c r="D35" s="900"/>
      <c r="E35" s="900"/>
    </row>
    <row r="36" spans="1:5">
      <c r="A36" s="900"/>
      <c r="B36" s="900"/>
      <c r="C36" s="900"/>
      <c r="D36" s="900"/>
      <c r="E36" s="900"/>
    </row>
    <row r="37" spans="1:5">
      <c r="A37" s="900"/>
      <c r="B37" s="900"/>
      <c r="C37" s="900"/>
      <c r="D37" s="900"/>
      <c r="E37" s="900"/>
    </row>
    <row r="38" spans="1:5">
      <c r="A38" s="900"/>
      <c r="B38" s="900"/>
      <c r="C38" s="900"/>
      <c r="D38" s="900"/>
      <c r="E38" s="900"/>
    </row>
    <row r="39" spans="1:5">
      <c r="A39" s="900"/>
      <c r="B39" s="900"/>
      <c r="C39" s="900"/>
      <c r="D39" s="900"/>
      <c r="E39" s="900"/>
    </row>
    <row r="40" spans="1:5">
      <c r="A40" s="900"/>
      <c r="B40" s="900"/>
      <c r="C40" s="900"/>
      <c r="D40" s="900"/>
      <c r="E40" s="900"/>
    </row>
  </sheetData>
  <sheetProtection password="F70F" sheet="1"/>
  <mergeCells count="15">
    <mergeCell ref="A38:E38"/>
    <mergeCell ref="A39:E39"/>
    <mergeCell ref="A40:E40"/>
    <mergeCell ref="A32:E32"/>
    <mergeCell ref="A33:E33"/>
    <mergeCell ref="A34:E34"/>
    <mergeCell ref="A35:E35"/>
    <mergeCell ref="A36:E36"/>
    <mergeCell ref="A37:E37"/>
    <mergeCell ref="A29:B29"/>
    <mergeCell ref="A23:B23"/>
    <mergeCell ref="A24:C24"/>
    <mergeCell ref="A25:B25"/>
    <mergeCell ref="A27:B27"/>
    <mergeCell ref="A28:B28"/>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outlinePr summaryBelow="0" summaryRight="0"/>
    <pageSetUpPr fitToPage="1"/>
  </sheetPr>
  <dimension ref="A1:M18"/>
  <sheetViews>
    <sheetView topLeftCell="C1" workbookViewId="0">
      <selection activeCell="F9" sqref="F9"/>
    </sheetView>
  </sheetViews>
  <sheetFormatPr defaultColWidth="11.44140625" defaultRowHeight="13.2"/>
  <cols>
    <col min="1" max="1" width="24.109375" style="189" customWidth="1"/>
    <col min="2" max="16384" width="11.44140625" style="189"/>
  </cols>
  <sheetData>
    <row r="1" spans="1:13" ht="18" customHeight="1" thickBot="1">
      <c r="A1" s="250" t="s">
        <v>630</v>
      </c>
      <c r="B1" s="250"/>
      <c r="C1" s="250"/>
      <c r="D1" s="250"/>
      <c r="E1" s="250"/>
      <c r="F1" s="250"/>
      <c r="G1" s="250"/>
      <c r="H1" s="250"/>
      <c r="I1" s="250"/>
      <c r="J1" s="250"/>
      <c r="K1" s="250"/>
      <c r="L1" s="250"/>
      <c r="M1" s="250"/>
    </row>
    <row r="2" spans="1:13" ht="14.4" customHeight="1" thickBot="1">
      <c r="A2" s="190"/>
      <c r="B2" s="251" t="s">
        <v>644</v>
      </c>
      <c r="C2" s="252" t="s">
        <v>631</v>
      </c>
      <c r="D2" s="252" t="s">
        <v>632</v>
      </c>
      <c r="E2" s="252" t="s">
        <v>633</v>
      </c>
      <c r="F2" s="252" t="s">
        <v>634</v>
      </c>
      <c r="G2" s="252" t="s">
        <v>635</v>
      </c>
      <c r="H2" s="252" t="s">
        <v>636</v>
      </c>
      <c r="I2" s="252" t="s">
        <v>637</v>
      </c>
      <c r="J2" s="252" t="s">
        <v>638</v>
      </c>
      <c r="K2" s="252" t="s">
        <v>639</v>
      </c>
      <c r="L2" s="252" t="s">
        <v>640</v>
      </c>
      <c r="M2" s="252" t="s">
        <v>641</v>
      </c>
    </row>
    <row r="3" spans="1:13" ht="14.4" customHeight="1" thickBot="1">
      <c r="A3" s="253" t="s">
        <v>642</v>
      </c>
      <c r="B3" s="253" t="s">
        <v>643</v>
      </c>
      <c r="C3" s="254" t="s">
        <v>645</v>
      </c>
      <c r="D3" s="254" t="s">
        <v>646</v>
      </c>
      <c r="E3" s="254" t="s">
        <v>647</v>
      </c>
      <c r="F3" s="254" t="s">
        <v>648</v>
      </c>
      <c r="G3" s="254" t="s">
        <v>649</v>
      </c>
      <c r="H3" s="254" t="s">
        <v>650</v>
      </c>
      <c r="I3" s="254" t="s">
        <v>829</v>
      </c>
      <c r="J3" s="254" t="s">
        <v>830</v>
      </c>
      <c r="K3" s="254" t="s">
        <v>831</v>
      </c>
      <c r="L3" s="254" t="s">
        <v>832</v>
      </c>
      <c r="M3" s="254" t="s">
        <v>833</v>
      </c>
    </row>
    <row r="4" spans="1:13" ht="15.15" customHeight="1" thickBot="1">
      <c r="A4" s="255" t="s">
        <v>42</v>
      </c>
      <c r="B4" s="255"/>
      <c r="C4" s="255"/>
      <c r="D4" s="255"/>
      <c r="E4" s="255"/>
      <c r="F4" s="255"/>
      <c r="G4" s="255"/>
      <c r="H4" s="255"/>
      <c r="I4" s="255"/>
      <c r="J4" s="255"/>
      <c r="K4" s="255"/>
      <c r="L4" s="255"/>
      <c r="M4" s="255"/>
    </row>
    <row r="5" spans="1:13" ht="15.15" customHeight="1" thickBot="1">
      <c r="A5" s="255" t="s">
        <v>521</v>
      </c>
      <c r="B5" s="255"/>
      <c r="C5" s="255"/>
      <c r="D5" s="255"/>
      <c r="E5" s="255"/>
      <c r="F5" s="255"/>
      <c r="G5" s="255"/>
      <c r="H5" s="255"/>
      <c r="I5" s="255"/>
      <c r="J5" s="255"/>
      <c r="K5" s="255"/>
      <c r="L5" s="255"/>
      <c r="M5" s="255"/>
    </row>
    <row r="6" spans="1:13" ht="15.15" customHeight="1" thickBot="1">
      <c r="A6" s="255" t="s">
        <v>522</v>
      </c>
      <c r="B6" s="255"/>
      <c r="C6" s="255"/>
      <c r="D6" s="255"/>
      <c r="E6" s="255"/>
      <c r="F6" s="255"/>
      <c r="G6" s="255"/>
      <c r="H6" s="255"/>
      <c r="I6" s="255"/>
      <c r="J6" s="255"/>
      <c r="K6" s="255"/>
      <c r="L6" s="255"/>
      <c r="M6" s="255"/>
    </row>
    <row r="7" spans="1:13" ht="15.15" customHeight="1" thickBot="1">
      <c r="A7" s="255" t="s">
        <v>523</v>
      </c>
      <c r="B7" s="255"/>
      <c r="C7" s="255"/>
      <c r="D7" s="255"/>
      <c r="E7" s="255"/>
      <c r="F7" s="255"/>
      <c r="G7" s="255"/>
      <c r="H7" s="255"/>
      <c r="I7" s="255"/>
      <c r="J7" s="255"/>
      <c r="K7" s="255"/>
      <c r="L7" s="255"/>
      <c r="M7" s="255"/>
    </row>
    <row r="8" spans="1:13" ht="15.15" customHeight="1" thickBot="1">
      <c r="A8" s="255" t="s">
        <v>524</v>
      </c>
      <c r="B8" s="255"/>
      <c r="C8" s="255"/>
      <c r="D8" s="255"/>
      <c r="E8" s="255"/>
      <c r="F8" s="255"/>
      <c r="G8" s="255"/>
      <c r="H8" s="255"/>
      <c r="I8" s="255"/>
      <c r="J8" s="255"/>
      <c r="K8" s="255"/>
      <c r="L8" s="255"/>
      <c r="M8" s="255"/>
    </row>
    <row r="9" spans="1:13" ht="15.15" customHeight="1" thickBot="1">
      <c r="A9" s="255" t="s">
        <v>525</v>
      </c>
      <c r="B9" s="255"/>
      <c r="C9" s="255"/>
      <c r="D9" s="255"/>
      <c r="E9" s="255"/>
      <c r="F9" s="255"/>
      <c r="G9" s="255"/>
      <c r="H9" s="255"/>
      <c r="I9" s="255"/>
      <c r="J9" s="255"/>
      <c r="K9" s="255"/>
      <c r="L9" s="255"/>
      <c r="M9" s="255"/>
    </row>
    <row r="10" spans="1:13" ht="15.15" customHeight="1" thickBot="1">
      <c r="A10" s="255" t="s">
        <v>47</v>
      </c>
      <c r="B10" s="255"/>
      <c r="C10" s="255"/>
      <c r="D10" s="255"/>
      <c r="E10" s="255"/>
      <c r="F10" s="255"/>
      <c r="G10" s="255"/>
      <c r="H10" s="255"/>
      <c r="I10" s="255"/>
      <c r="J10" s="255"/>
      <c r="K10" s="255"/>
      <c r="L10" s="255"/>
      <c r="M10" s="255"/>
    </row>
    <row r="11" spans="1:13" ht="15.15" customHeight="1" thickBot="1">
      <c r="A11" s="255" t="s">
        <v>526</v>
      </c>
      <c r="B11" s="255"/>
      <c r="C11" s="255"/>
      <c r="D11" s="255"/>
      <c r="E11" s="255"/>
      <c r="F11" s="255"/>
      <c r="G11" s="255"/>
      <c r="H11" s="255"/>
      <c r="I11" s="255"/>
      <c r="J11" s="255"/>
      <c r="K11" s="255"/>
      <c r="L11" s="255"/>
      <c r="M11" s="255"/>
    </row>
    <row r="12" spans="1:13" ht="15.15" customHeight="1" thickBot="1">
      <c r="A12" s="255" t="s">
        <v>527</v>
      </c>
      <c r="B12" s="255"/>
      <c r="C12" s="255"/>
      <c r="D12" s="255"/>
      <c r="E12" s="255"/>
      <c r="F12" s="255"/>
      <c r="G12" s="255"/>
      <c r="H12" s="255"/>
      <c r="I12" s="255"/>
      <c r="J12" s="255"/>
      <c r="K12" s="255"/>
      <c r="L12" s="255"/>
      <c r="M12" s="255"/>
    </row>
    <row r="13" spans="1:13" ht="15.15" customHeight="1" thickBot="1">
      <c r="A13" s="255" t="s">
        <v>528</v>
      </c>
      <c r="B13" s="255"/>
      <c r="C13" s="255"/>
      <c r="D13" s="255"/>
      <c r="E13" s="255"/>
      <c r="F13" s="255"/>
      <c r="G13" s="255"/>
      <c r="H13" s="255"/>
      <c r="I13" s="255"/>
      <c r="J13" s="255"/>
      <c r="K13" s="255"/>
      <c r="L13" s="255"/>
      <c r="M13" s="255"/>
    </row>
    <row r="14" spans="1:13" ht="15.15" customHeight="1" thickBot="1">
      <c r="A14" s="255" t="s">
        <v>529</v>
      </c>
      <c r="B14" s="255"/>
      <c r="C14" s="255"/>
      <c r="D14" s="255"/>
      <c r="E14" s="255"/>
      <c r="F14" s="255"/>
      <c r="G14" s="255"/>
      <c r="H14" s="255"/>
      <c r="I14" s="255"/>
      <c r="J14" s="255"/>
      <c r="K14" s="255"/>
      <c r="L14" s="255"/>
      <c r="M14" s="255"/>
    </row>
    <row r="15" spans="1:13" ht="15.15" customHeight="1" thickBot="1">
      <c r="A15" s="255" t="s">
        <v>530</v>
      </c>
      <c r="B15" s="255"/>
      <c r="C15" s="255"/>
      <c r="D15" s="255"/>
      <c r="E15" s="255"/>
      <c r="F15" s="255"/>
      <c r="G15" s="255"/>
      <c r="H15" s="255"/>
      <c r="I15" s="255"/>
      <c r="J15" s="255"/>
      <c r="K15" s="255"/>
      <c r="L15" s="255"/>
      <c r="M15" s="255"/>
    </row>
    <row r="16" spans="1:13" ht="15.15" customHeight="1" thickBot="1">
      <c r="A16" s="255" t="s">
        <v>531</v>
      </c>
      <c r="B16" s="255"/>
      <c r="C16" s="255"/>
      <c r="D16" s="255"/>
      <c r="E16" s="255"/>
      <c r="F16" s="255"/>
      <c r="G16" s="255"/>
      <c r="H16" s="255"/>
      <c r="I16" s="255"/>
      <c r="J16" s="255"/>
      <c r="K16" s="255"/>
      <c r="L16" s="255"/>
      <c r="M16" s="255"/>
    </row>
    <row r="17" spans="1:13" ht="15.15" customHeight="1" thickBot="1">
      <c r="A17" s="255" t="s">
        <v>651</v>
      </c>
      <c r="B17" s="255"/>
      <c r="C17" s="255"/>
      <c r="D17" s="255"/>
      <c r="E17" s="255"/>
      <c r="F17" s="255"/>
      <c r="G17" s="255"/>
      <c r="H17" s="255"/>
      <c r="I17" s="255"/>
      <c r="J17" s="255"/>
      <c r="K17" s="255"/>
      <c r="L17" s="255"/>
      <c r="M17" s="255"/>
    </row>
    <row r="18" spans="1:13" ht="18" customHeight="1" thickBot="1">
      <c r="A18" s="249" t="s">
        <v>652</v>
      </c>
      <c r="B18" s="256">
        <f t="shared" ref="B18:M18" si="0">SUM(B4:B17)</f>
        <v>0</v>
      </c>
      <c r="C18" s="256">
        <f t="shared" si="0"/>
        <v>0</v>
      </c>
      <c r="D18" s="256">
        <f t="shared" si="0"/>
        <v>0</v>
      </c>
      <c r="E18" s="256">
        <f t="shared" si="0"/>
        <v>0</v>
      </c>
      <c r="F18" s="256">
        <f t="shared" si="0"/>
        <v>0</v>
      </c>
      <c r="G18" s="256">
        <f t="shared" si="0"/>
        <v>0</v>
      </c>
      <c r="H18" s="256">
        <f t="shared" si="0"/>
        <v>0</v>
      </c>
      <c r="I18" s="256">
        <f t="shared" si="0"/>
        <v>0</v>
      </c>
      <c r="J18" s="256">
        <f t="shared" si="0"/>
        <v>0</v>
      </c>
      <c r="K18" s="256">
        <f t="shared" si="0"/>
        <v>0</v>
      </c>
      <c r="L18" s="256">
        <f t="shared" si="0"/>
        <v>0</v>
      </c>
      <c r="M18" s="257">
        <f t="shared" si="0"/>
        <v>0</v>
      </c>
    </row>
  </sheetData>
  <pageMargins left="0.5" right="0.5" top="0.75000000000000011" bottom="0.75000000000000011" header="0.75000000000000011" footer="0.75000000000000011"/>
  <pageSetup scale="8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H35"/>
  <sheetViews>
    <sheetView workbookViewId="0">
      <selection activeCell="H3" sqref="H3"/>
    </sheetView>
  </sheetViews>
  <sheetFormatPr defaultRowHeight="13.2"/>
  <cols>
    <col min="1" max="1" width="20" customWidth="1"/>
    <col min="2" max="2" width="18.5546875" customWidth="1"/>
    <col min="3" max="3" width="13.109375" customWidth="1"/>
    <col min="4" max="7" width="11.88671875" customWidth="1"/>
    <col min="8" max="8" width="27.5546875" customWidth="1"/>
  </cols>
  <sheetData>
    <row r="1" spans="1:8">
      <c r="A1" s="5" t="s">
        <v>615</v>
      </c>
      <c r="B1" s="3">
        <f>Summary!C1</f>
        <v>0</v>
      </c>
      <c r="D1" s="5" t="s">
        <v>653</v>
      </c>
    </row>
    <row r="2" spans="1:8">
      <c r="A2" s="5" t="s">
        <v>617</v>
      </c>
      <c r="B2" s="3">
        <f>Summary!C2</f>
        <v>0</v>
      </c>
    </row>
    <row r="3" spans="1:8">
      <c r="A3" s="5" t="s">
        <v>618</v>
      </c>
      <c r="B3" s="3">
        <f>Summary!C3</f>
        <v>0</v>
      </c>
    </row>
    <row r="4" spans="1:8">
      <c r="A4" s="5" t="s">
        <v>619</v>
      </c>
      <c r="B4" s="3">
        <f>Summary!G3</f>
        <v>0</v>
      </c>
    </row>
    <row r="5" spans="1:8">
      <c r="A5" s="5" t="s">
        <v>463</v>
      </c>
      <c r="B5" s="184">
        <f>Summary!G4</f>
        <v>0</v>
      </c>
    </row>
    <row r="8" spans="1:8">
      <c r="A8" s="185" t="s">
        <v>620</v>
      </c>
      <c r="B8" s="185" t="s">
        <v>4</v>
      </c>
      <c r="C8" s="185" t="s">
        <v>654</v>
      </c>
      <c r="D8" s="185" t="s">
        <v>655</v>
      </c>
      <c r="E8" s="185" t="s">
        <v>656</v>
      </c>
      <c r="F8" s="185" t="s">
        <v>657</v>
      </c>
      <c r="G8" s="185" t="s">
        <v>658</v>
      </c>
      <c r="H8" s="191" t="s">
        <v>659</v>
      </c>
    </row>
    <row r="9" spans="1:8">
      <c r="A9" s="1" t="s">
        <v>600</v>
      </c>
      <c r="B9" s="1" t="s">
        <v>600</v>
      </c>
      <c r="C9" s="186">
        <v>0</v>
      </c>
      <c r="D9" s="186">
        <v>0</v>
      </c>
      <c r="E9" s="186">
        <v>0</v>
      </c>
      <c r="F9" s="186">
        <v>0</v>
      </c>
      <c r="G9" s="186"/>
      <c r="H9" s="187" t="s">
        <v>660</v>
      </c>
    </row>
    <row r="10" spans="1:8">
      <c r="A10" s="1"/>
      <c r="B10" s="1"/>
      <c r="C10" s="186">
        <v>0</v>
      </c>
      <c r="D10" s="186">
        <v>0</v>
      </c>
      <c r="E10" s="186">
        <v>0</v>
      </c>
      <c r="F10" s="186">
        <v>0</v>
      </c>
      <c r="G10" s="186"/>
      <c r="H10" s="187"/>
    </row>
    <row r="11" spans="1:8">
      <c r="A11" s="1"/>
      <c r="B11" s="1"/>
      <c r="C11" s="186">
        <v>0</v>
      </c>
      <c r="D11" s="186">
        <v>0</v>
      </c>
      <c r="E11" s="186">
        <v>0</v>
      </c>
      <c r="F11" s="186">
        <v>0</v>
      </c>
      <c r="G11" s="186"/>
      <c r="H11" s="187"/>
    </row>
    <row r="12" spans="1:8">
      <c r="A12" s="1"/>
      <c r="B12" s="1"/>
      <c r="C12" s="186">
        <v>0</v>
      </c>
      <c r="D12" s="186">
        <v>0</v>
      </c>
      <c r="E12" s="186">
        <v>0</v>
      </c>
      <c r="F12" s="186">
        <v>0</v>
      </c>
      <c r="G12" s="186"/>
      <c r="H12" s="187"/>
    </row>
    <row r="13" spans="1:8">
      <c r="A13" s="1"/>
      <c r="B13" s="1"/>
      <c r="C13" s="186">
        <v>0</v>
      </c>
      <c r="D13" s="186">
        <v>0</v>
      </c>
      <c r="E13" s="186">
        <v>0</v>
      </c>
      <c r="F13" s="186">
        <v>0</v>
      </c>
      <c r="G13" s="186"/>
      <c r="H13" s="187"/>
    </row>
    <row r="14" spans="1:8">
      <c r="A14" s="1"/>
      <c r="B14" s="1"/>
      <c r="C14" s="186">
        <v>0</v>
      </c>
      <c r="D14" s="186">
        <v>0</v>
      </c>
      <c r="E14" s="186">
        <v>0</v>
      </c>
      <c r="F14" s="186">
        <v>0</v>
      </c>
      <c r="G14" s="186"/>
      <c r="H14" s="187"/>
    </row>
    <row r="15" spans="1:8">
      <c r="A15" s="1"/>
      <c r="B15" s="1"/>
      <c r="C15" s="186">
        <v>0</v>
      </c>
      <c r="D15" s="186">
        <v>0</v>
      </c>
      <c r="E15" s="186">
        <v>0</v>
      </c>
      <c r="F15" s="186">
        <v>0</v>
      </c>
      <c r="G15" s="186"/>
      <c r="H15" s="187"/>
    </row>
    <row r="16" spans="1:8">
      <c r="A16" s="1"/>
      <c r="B16" s="1"/>
      <c r="C16" s="186">
        <v>0</v>
      </c>
      <c r="D16" s="186">
        <v>0</v>
      </c>
      <c r="E16" s="186">
        <v>0</v>
      </c>
      <c r="F16" s="186">
        <v>0</v>
      </c>
      <c r="G16" s="186"/>
      <c r="H16" s="187"/>
    </row>
    <row r="17" spans="1:8">
      <c r="A17" s="1"/>
      <c r="B17" s="1"/>
      <c r="C17" s="186">
        <v>0</v>
      </c>
      <c r="D17" s="186">
        <v>0</v>
      </c>
      <c r="E17" s="186">
        <v>0</v>
      </c>
      <c r="F17" s="186">
        <v>0</v>
      </c>
      <c r="G17" s="186"/>
      <c r="H17" s="187"/>
    </row>
    <row r="19" spans="1:8">
      <c r="B19" s="5" t="s">
        <v>661</v>
      </c>
      <c r="C19" s="192">
        <f>SUM(C9:C18)</f>
        <v>0</v>
      </c>
      <c r="D19" s="192">
        <f>SUM(D9:D18)</f>
        <v>0</v>
      </c>
      <c r="E19" s="192">
        <f>SUM(E9:E18)</f>
        <v>0</v>
      </c>
      <c r="F19" s="192">
        <f>SUM(F9:F18)</f>
        <v>0</v>
      </c>
      <c r="G19" s="192"/>
    </row>
    <row r="21" spans="1:8">
      <c r="B21" s="5" t="s">
        <v>662</v>
      </c>
      <c r="C21" s="9">
        <v>0</v>
      </c>
      <c r="D21" s="9">
        <v>0</v>
      </c>
      <c r="E21" s="9">
        <v>0</v>
      </c>
      <c r="F21" s="9">
        <v>0</v>
      </c>
      <c r="G21" s="9"/>
    </row>
    <row r="22" spans="1:8">
      <c r="B22" s="5" t="s">
        <v>663</v>
      </c>
    </row>
    <row r="24" spans="1:8">
      <c r="B24" s="5" t="s">
        <v>664</v>
      </c>
      <c r="C24" s="9">
        <f>C19-C21</f>
        <v>0</v>
      </c>
      <c r="D24" s="9">
        <f>D19-D21</f>
        <v>0</v>
      </c>
      <c r="E24" s="9">
        <f>E19-E21</f>
        <v>0</v>
      </c>
      <c r="F24" s="9">
        <f>F19-F21</f>
        <v>0</v>
      </c>
      <c r="G24" s="9"/>
    </row>
    <row r="26" spans="1:8">
      <c r="A26" s="901" t="s">
        <v>629</v>
      </c>
      <c r="B26" s="900"/>
      <c r="C26" s="900"/>
      <c r="D26" s="900"/>
      <c r="E26" s="900"/>
      <c r="F26" s="900"/>
      <c r="G26" s="900"/>
      <c r="H26" s="902"/>
    </row>
    <row r="27" spans="1:8">
      <c r="A27" s="903"/>
      <c r="B27" s="900"/>
      <c r="C27" s="900"/>
      <c r="D27" s="900"/>
      <c r="E27" s="900"/>
      <c r="F27" s="900"/>
      <c r="G27" s="900"/>
      <c r="H27" s="902"/>
    </row>
    <row r="28" spans="1:8">
      <c r="A28" s="903"/>
      <c r="B28" s="900"/>
      <c r="C28" s="900"/>
      <c r="D28" s="900"/>
      <c r="E28" s="900"/>
      <c r="F28" s="900"/>
      <c r="G28" s="900"/>
      <c r="H28" s="902"/>
    </row>
    <row r="29" spans="1:8">
      <c r="A29" s="903"/>
      <c r="B29" s="900"/>
      <c r="C29" s="900"/>
      <c r="D29" s="900"/>
      <c r="E29" s="900"/>
      <c r="F29" s="900"/>
      <c r="G29" s="900"/>
      <c r="H29" s="902"/>
    </row>
    <row r="30" spans="1:8">
      <c r="A30" s="903"/>
      <c r="B30" s="900"/>
      <c r="C30" s="900"/>
      <c r="D30" s="900"/>
      <c r="E30" s="900"/>
      <c r="F30" s="900"/>
      <c r="G30" s="900"/>
      <c r="H30" s="902"/>
    </row>
    <row r="31" spans="1:8">
      <c r="A31" s="903"/>
      <c r="B31" s="900"/>
      <c r="C31" s="900"/>
      <c r="D31" s="900"/>
      <c r="E31" s="900"/>
      <c r="F31" s="900"/>
      <c r="G31" s="900"/>
      <c r="H31" s="902"/>
    </row>
    <row r="32" spans="1:8">
      <c r="A32" s="903"/>
      <c r="B32" s="900"/>
      <c r="C32" s="900"/>
      <c r="D32" s="900"/>
      <c r="E32" s="900"/>
      <c r="F32" s="900"/>
      <c r="G32" s="900"/>
      <c r="H32" s="902"/>
    </row>
    <row r="33" spans="1:8">
      <c r="A33" s="903"/>
      <c r="B33" s="900"/>
      <c r="C33" s="900"/>
      <c r="D33" s="900"/>
      <c r="E33" s="900"/>
      <c r="F33" s="900"/>
      <c r="G33" s="900"/>
      <c r="H33" s="902"/>
    </row>
    <row r="34" spans="1:8">
      <c r="A34" s="903"/>
      <c r="B34" s="900"/>
      <c r="C34" s="900"/>
      <c r="D34" s="900"/>
      <c r="E34" s="900"/>
      <c r="F34" s="900"/>
      <c r="G34" s="900"/>
      <c r="H34" s="902"/>
    </row>
    <row r="35" spans="1:8">
      <c r="A35" s="903"/>
      <c r="B35" s="900"/>
      <c r="C35" s="900"/>
      <c r="D35" s="900"/>
      <c r="E35" s="900"/>
      <c r="F35" s="900"/>
      <c r="G35" s="900"/>
      <c r="H35" s="902"/>
    </row>
  </sheetData>
  <mergeCells count="10">
    <mergeCell ref="A32:H32"/>
    <mergeCell ref="A33:H33"/>
    <mergeCell ref="A34:H34"/>
    <mergeCell ref="A35:H35"/>
    <mergeCell ref="A26:H26"/>
    <mergeCell ref="A27:H27"/>
    <mergeCell ref="A28:H28"/>
    <mergeCell ref="A29:H29"/>
    <mergeCell ref="A30:H30"/>
    <mergeCell ref="A31:H31"/>
  </mergeCells>
  <pageMargins left="0.75" right="0.75" top="1" bottom="1" header="0.5" footer="0.5"/>
  <pageSetup scale="9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E25"/>
  <sheetViews>
    <sheetView workbookViewId="0">
      <selection activeCell="I15" sqref="I15"/>
    </sheetView>
  </sheetViews>
  <sheetFormatPr defaultRowHeight="13.2"/>
  <cols>
    <col min="1" max="1" width="28.44140625" bestFit="1" customWidth="1"/>
    <col min="2" max="2" width="20.6640625" customWidth="1"/>
    <col min="3" max="3" width="9.33203125" bestFit="1" customWidth="1"/>
    <col min="4" max="4" width="14" customWidth="1"/>
    <col min="6" max="6" width="12" customWidth="1"/>
  </cols>
  <sheetData>
    <row r="1" spans="1:5">
      <c r="A1" s="5" t="s">
        <v>615</v>
      </c>
      <c r="B1">
        <f>Summary!C1</f>
        <v>0</v>
      </c>
      <c r="E1" s="5" t="s">
        <v>834</v>
      </c>
    </row>
    <row r="2" spans="1:5">
      <c r="A2" s="5" t="s">
        <v>617</v>
      </c>
      <c r="B2">
        <f>Summary!C4</f>
        <v>0</v>
      </c>
    </row>
    <row r="3" spans="1:5">
      <c r="A3" s="5" t="s">
        <v>618</v>
      </c>
      <c r="B3">
        <f>Summary!C3</f>
        <v>0</v>
      </c>
    </row>
    <row r="4" spans="1:5">
      <c r="A4" s="5" t="s">
        <v>619</v>
      </c>
      <c r="B4">
        <f>Summary!G3</f>
        <v>0</v>
      </c>
    </row>
    <row r="5" spans="1:5">
      <c r="A5" s="5" t="s">
        <v>463</v>
      </c>
      <c r="B5" s="184">
        <f>Summary!G4</f>
        <v>0</v>
      </c>
    </row>
    <row r="8" spans="1:5">
      <c r="A8" s="193" t="s">
        <v>620</v>
      </c>
      <c r="B8" s="194" t="s">
        <v>665</v>
      </c>
      <c r="C8" s="194" t="s">
        <v>666</v>
      </c>
      <c r="D8" s="193" t="s">
        <v>667</v>
      </c>
    </row>
    <row r="9" spans="1:5">
      <c r="A9" s="401" t="s">
        <v>600</v>
      </c>
      <c r="B9" s="402"/>
      <c r="C9" s="409"/>
      <c r="D9" s="186">
        <f t="shared" ref="D9:D19" si="0">B9*C9</f>
        <v>0</v>
      </c>
    </row>
    <row r="10" spans="1:5">
      <c r="A10" s="401" t="s">
        <v>600</v>
      </c>
      <c r="B10" s="402"/>
      <c r="C10" s="409"/>
      <c r="D10" s="186">
        <f t="shared" si="0"/>
        <v>0</v>
      </c>
    </row>
    <row r="11" spans="1:5">
      <c r="A11" s="401"/>
      <c r="B11" s="402"/>
      <c r="C11" s="409"/>
      <c r="D11" s="186">
        <f t="shared" si="0"/>
        <v>0</v>
      </c>
    </row>
    <row r="12" spans="1:5">
      <c r="A12" s="401"/>
      <c r="B12" s="402"/>
      <c r="C12" s="409"/>
      <c r="D12" s="186">
        <f t="shared" si="0"/>
        <v>0</v>
      </c>
    </row>
    <row r="13" spans="1:5">
      <c r="A13" s="401"/>
      <c r="B13" s="402"/>
      <c r="C13" s="409"/>
      <c r="D13" s="186">
        <f t="shared" si="0"/>
        <v>0</v>
      </c>
    </row>
    <row r="14" spans="1:5">
      <c r="A14" s="401"/>
      <c r="B14" s="402"/>
      <c r="C14" s="409"/>
      <c r="D14" s="186">
        <f t="shared" si="0"/>
        <v>0</v>
      </c>
    </row>
    <row r="15" spans="1:5">
      <c r="A15" s="401"/>
      <c r="B15" s="402"/>
      <c r="C15" s="409"/>
      <c r="D15" s="186">
        <f t="shared" si="0"/>
        <v>0</v>
      </c>
    </row>
    <row r="16" spans="1:5">
      <c r="A16" s="401"/>
      <c r="B16" s="402"/>
      <c r="C16" s="409"/>
      <c r="D16" s="186">
        <f t="shared" si="0"/>
        <v>0</v>
      </c>
    </row>
    <row r="17" spans="1:4">
      <c r="A17" s="401"/>
      <c r="B17" s="402"/>
      <c r="C17" s="409"/>
      <c r="D17" s="186">
        <f t="shared" si="0"/>
        <v>0</v>
      </c>
    </row>
    <row r="18" spans="1:4">
      <c r="A18" s="401"/>
      <c r="B18" s="402"/>
      <c r="C18" s="409"/>
      <c r="D18" s="186">
        <f t="shared" si="0"/>
        <v>0</v>
      </c>
    </row>
    <row r="19" spans="1:4">
      <c r="A19" s="401"/>
      <c r="B19" s="402"/>
      <c r="C19" s="409"/>
      <c r="D19" s="186">
        <f t="shared" si="0"/>
        <v>0</v>
      </c>
    </row>
    <row r="20" spans="1:4">
      <c r="A20" s="410" t="s">
        <v>461</v>
      </c>
      <c r="B20" s="411">
        <f>SUM(B9:B19)</f>
        <v>0</v>
      </c>
      <c r="C20" s="410"/>
      <c r="D20" s="195">
        <f>SUM(D9:D19)</f>
        <v>0</v>
      </c>
    </row>
    <row r="22" spans="1:4" ht="13.8" thickBot="1"/>
    <row r="23" spans="1:4" ht="14.4" thickTop="1" thickBot="1">
      <c r="A23" s="196" t="s">
        <v>668</v>
      </c>
      <c r="B23" s="197" t="e">
        <f>D20/B20</f>
        <v>#DIV/0!</v>
      </c>
    </row>
    <row r="24" spans="1:4" ht="13.8" thickTop="1">
      <c r="A24" t="s">
        <v>600</v>
      </c>
    </row>
    <row r="25" spans="1:4" ht="12.75" customHeight="1">
      <c r="A25" s="9" t="s">
        <v>600</v>
      </c>
    </row>
  </sheetData>
  <pageMargins left="0.75" right="0.75" top="1" bottom="1" header="0.5" footer="0.5"/>
  <pageSetup orientation="portrait" r:id="rId1"/>
  <headerFooter alignWithMargins="0"/>
  <ignoredErrors>
    <ignoredError sqref="B20"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G35"/>
  <sheetViews>
    <sheetView topLeftCell="A6" workbookViewId="0">
      <selection activeCell="C28" sqref="C28"/>
    </sheetView>
  </sheetViews>
  <sheetFormatPr defaultRowHeight="13.2"/>
  <cols>
    <col min="1" max="1" width="21" customWidth="1"/>
    <col min="2" max="2" width="26.109375" customWidth="1"/>
    <col min="3" max="3" width="14.44140625" customWidth="1"/>
    <col min="4" max="6" width="12.33203125" customWidth="1"/>
    <col min="7" max="7" width="16" customWidth="1"/>
  </cols>
  <sheetData>
    <row r="1" spans="1:7" ht="15.6">
      <c r="A1" s="124" t="s">
        <v>679</v>
      </c>
    </row>
    <row r="2" spans="1:7">
      <c r="A2" s="5"/>
    </row>
    <row r="4" spans="1:7" ht="15.6">
      <c r="A4" s="124" t="s">
        <v>467</v>
      </c>
      <c r="B4" s="204">
        <f>Summary!C1</f>
        <v>0</v>
      </c>
      <c r="C4" s="2"/>
    </row>
    <row r="5" spans="1:7" ht="15.6">
      <c r="A5" s="124" t="s">
        <v>468</v>
      </c>
      <c r="B5" s="204">
        <f>Summary!C2</f>
        <v>0</v>
      </c>
      <c r="C5" s="2"/>
    </row>
    <row r="6" spans="1:7" ht="15.6">
      <c r="A6" s="124" t="s">
        <v>469</v>
      </c>
      <c r="B6" s="204">
        <f>Summary!C4</f>
        <v>0</v>
      </c>
      <c r="C6" s="2"/>
    </row>
    <row r="7" spans="1:7" ht="15.6">
      <c r="A7" s="124"/>
      <c r="B7" s="126"/>
      <c r="C7" s="2"/>
    </row>
    <row r="8" spans="1:7" ht="15.6">
      <c r="A8" s="124" t="s">
        <v>470</v>
      </c>
      <c r="B8" s="204">
        <f>Summary!G3</f>
        <v>0</v>
      </c>
      <c r="C8" s="2"/>
    </row>
    <row r="9" spans="1:7" ht="15.6">
      <c r="A9" s="124" t="s">
        <v>471</v>
      </c>
      <c r="B9" s="205">
        <f>Summary!G4</f>
        <v>0</v>
      </c>
      <c r="C9" s="141"/>
    </row>
    <row r="11" spans="1:7" ht="54" customHeight="1">
      <c r="A11" s="904" t="s">
        <v>680</v>
      </c>
      <c r="B11" s="904"/>
      <c r="C11" s="904"/>
      <c r="D11" s="904"/>
      <c r="E11" s="904"/>
      <c r="F11" s="904"/>
      <c r="G11" s="904"/>
    </row>
    <row r="12" spans="1:7">
      <c r="A12" s="8"/>
      <c r="B12" s="8"/>
      <c r="C12" s="8"/>
      <c r="D12" s="8"/>
      <c r="E12" s="8"/>
      <c r="F12" s="8"/>
      <c r="G12" s="8"/>
    </row>
    <row r="13" spans="1:7" hidden="1">
      <c r="A13" s="8"/>
      <c r="B13" s="8"/>
      <c r="C13" s="8"/>
      <c r="D13" s="8"/>
      <c r="E13" s="8"/>
      <c r="F13" s="8"/>
      <c r="G13" s="8"/>
    </row>
    <row r="14" spans="1:7" hidden="1">
      <c r="A14" s="8"/>
      <c r="B14" s="8"/>
      <c r="C14" s="8"/>
      <c r="D14" s="8"/>
      <c r="E14" s="8"/>
      <c r="F14" s="8"/>
      <c r="G14" s="8"/>
    </row>
    <row r="15" spans="1:7" hidden="1">
      <c r="A15" s="8"/>
      <c r="B15" s="8"/>
      <c r="C15" s="8"/>
      <c r="D15" s="8"/>
      <c r="E15" s="8"/>
      <c r="F15" s="8"/>
      <c r="G15" s="8"/>
    </row>
    <row r="16" spans="1:7" hidden="1">
      <c r="A16" s="8"/>
      <c r="B16" s="8"/>
      <c r="C16" s="8"/>
      <c r="D16" s="8"/>
      <c r="E16" s="8"/>
      <c r="F16" s="8"/>
      <c r="G16" s="8"/>
    </row>
    <row r="17" spans="1:7" hidden="1">
      <c r="A17" s="8"/>
      <c r="B17" s="8"/>
      <c r="C17" s="8"/>
      <c r="D17" s="8"/>
      <c r="E17" s="8"/>
      <c r="F17" s="8"/>
      <c r="G17" s="8"/>
    </row>
    <row r="18" spans="1:7" hidden="1">
      <c r="A18" s="8"/>
      <c r="B18" s="8"/>
      <c r="C18" s="8"/>
      <c r="D18" s="8"/>
      <c r="E18" s="8"/>
      <c r="F18" s="8"/>
      <c r="G18" s="8"/>
    </row>
    <row r="19" spans="1:7" hidden="1">
      <c r="A19" s="8"/>
      <c r="B19" s="8"/>
      <c r="C19" s="8"/>
      <c r="D19" s="8"/>
      <c r="E19" s="8"/>
      <c r="F19" s="8"/>
      <c r="G19" s="8"/>
    </row>
    <row r="20" spans="1:7" hidden="1">
      <c r="A20" s="8"/>
      <c r="B20" s="8"/>
      <c r="C20" s="8"/>
      <c r="D20" s="8"/>
      <c r="E20" s="8"/>
      <c r="F20" s="8"/>
      <c r="G20" s="8"/>
    </row>
    <row r="21" spans="1:7">
      <c r="A21" s="8"/>
      <c r="B21" s="8"/>
      <c r="C21" t="s">
        <v>681</v>
      </c>
      <c r="E21" s="4" t="s">
        <v>682</v>
      </c>
      <c r="F21" s="4"/>
      <c r="G21" t="s">
        <v>683</v>
      </c>
    </row>
    <row r="22" spans="1:7">
      <c r="C22" s="4" t="s">
        <v>684</v>
      </c>
      <c r="E22" s="4" t="s">
        <v>685</v>
      </c>
      <c r="F22" s="4"/>
    </row>
    <row r="23" spans="1:7">
      <c r="E23" s="4" t="s">
        <v>686</v>
      </c>
    </row>
    <row r="25" spans="1:7" ht="13.8">
      <c r="A25" s="130" t="s">
        <v>461</v>
      </c>
      <c r="C25" s="419"/>
      <c r="E25" s="419"/>
      <c r="F25" s="4"/>
      <c r="G25" s="206">
        <f>+C25*E25</f>
        <v>0</v>
      </c>
    </row>
    <row r="27" spans="1:7">
      <c r="A27" s="5" t="s">
        <v>482</v>
      </c>
      <c r="C27" s="122" t="s">
        <v>2</v>
      </c>
      <c r="E27" s="152"/>
      <c r="F27" s="152"/>
      <c r="G27" s="129"/>
    </row>
    <row r="28" spans="1:7">
      <c r="B28" t="str">
        <f>IF(C27="NO", " ", "Demolition scope (square feet)")</f>
        <v>Demolition scope (square feet)</v>
      </c>
      <c r="C28" s="1"/>
      <c r="E28" s="3"/>
      <c r="F28" s="3"/>
      <c r="G28" s="129" t="e">
        <f>IF(C27="NO",0,C28*0.01*G$25/C$25)</f>
        <v>#DIV/0!</v>
      </c>
    </row>
    <row r="29" spans="1:7">
      <c r="E29" s="3"/>
      <c r="F29" s="3"/>
    </row>
    <row r="30" spans="1:7">
      <c r="A30" s="5" t="s">
        <v>483</v>
      </c>
      <c r="C30" s="122" t="s">
        <v>2</v>
      </c>
      <c r="E30" s="152"/>
      <c r="F30" s="152"/>
      <c r="G30" s="129"/>
    </row>
    <row r="31" spans="1:7">
      <c r="B31" t="str">
        <f>IF(C30="NO", " ", "Abatement scope (square feet)")</f>
        <v>Abatement scope (square feet)</v>
      </c>
      <c r="C31" s="1"/>
      <c r="G31" s="129" t="e">
        <f>IF(C30="NO",0,C31*0.01*G$25/C$25)</f>
        <v>#DIV/0!</v>
      </c>
    </row>
    <row r="33" spans="1:7">
      <c r="A33" t="s">
        <v>520</v>
      </c>
      <c r="G33" s="129" t="e">
        <f>G25+G28+G31</f>
        <v>#DIV/0!</v>
      </c>
    </row>
    <row r="35" spans="1:7" ht="15.6">
      <c r="A35" s="124" t="s">
        <v>484</v>
      </c>
      <c r="G35" s="207" t="e">
        <f>G33/C25</f>
        <v>#DIV/0!</v>
      </c>
    </row>
  </sheetData>
  <mergeCells count="1">
    <mergeCell ref="A11:G11"/>
  </mergeCells>
  <dataValidations count="1">
    <dataValidation type="list" allowBlank="1" showInputMessage="1" showErrorMessage="1" sqref="E27:F27 E30:F30 C30 C27" xr:uid="{00000000-0002-0000-1100-000000000000}">
      <formula1>"NO, YES"</formula1>
    </dataValidation>
  </dataValidations>
  <pageMargins left="0.75" right="0.75" top="0.75" bottom="0.75" header="0.25" footer="0.25"/>
  <pageSetup orientation="landscape" r:id="rId1"/>
  <headerFooter alignWithMargins="0">
    <oddFooter>&amp;LPrinted &amp;D at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FFFF00"/>
    <pageSetUpPr fitToPage="1"/>
  </sheetPr>
  <dimension ref="A1:G26"/>
  <sheetViews>
    <sheetView workbookViewId="0">
      <selection activeCell="F16" sqref="F16"/>
    </sheetView>
  </sheetViews>
  <sheetFormatPr defaultRowHeight="13.2"/>
  <cols>
    <col min="1" max="1" width="37" customWidth="1"/>
    <col min="2" max="2" width="14.88671875" customWidth="1"/>
    <col min="3" max="3" width="10" customWidth="1"/>
    <col min="4" max="4" width="7" customWidth="1"/>
    <col min="5" max="5" width="15.109375" customWidth="1"/>
    <col min="6" max="6" width="14.5546875" customWidth="1"/>
    <col min="7" max="7" width="43" customWidth="1"/>
  </cols>
  <sheetData>
    <row r="1" spans="1:7">
      <c r="A1" s="5" t="s">
        <v>669</v>
      </c>
    </row>
    <row r="3" spans="1:7">
      <c r="A3" t="str">
        <f>[2]SpaceReview!A3</f>
        <v xml:space="preserve">District:  </v>
      </c>
      <c r="B3">
        <f>Summary!C1</f>
        <v>0</v>
      </c>
    </row>
    <row r="4" spans="1:7">
      <c r="A4" t="str">
        <f>[2]SpaceReview!A4</f>
        <v xml:space="preserve">School:   </v>
      </c>
      <c r="B4">
        <f>Summary!C2</f>
        <v>0</v>
      </c>
    </row>
    <row r="5" spans="1:7">
      <c r="A5" t="str">
        <f>[2]SpaceReview!A5</f>
        <v xml:space="preserve">Project Number: </v>
      </c>
      <c r="B5">
        <f>Summary!C4</f>
        <v>0</v>
      </c>
    </row>
    <row r="6" spans="1:7">
      <c r="A6" t="str">
        <f>[2]SpaceReview!A6</f>
        <v>Project:</v>
      </c>
      <c r="B6">
        <f>Summary!C3</f>
        <v>0</v>
      </c>
    </row>
    <row r="8" spans="1:7">
      <c r="A8" s="198" t="s">
        <v>670</v>
      </c>
      <c r="B8" s="11">
        <f>[3]Summary!G4</f>
        <v>0</v>
      </c>
      <c r="C8" s="11"/>
    </row>
    <row r="9" spans="1:7">
      <c r="A9" s="198" t="s">
        <v>1</v>
      </c>
      <c r="B9" s="199">
        <f>[3]Summary!G3</f>
        <v>0</v>
      </c>
      <c r="C9" s="10"/>
    </row>
    <row r="11" spans="1:7" ht="39.6">
      <c r="A11" s="6" t="s">
        <v>671</v>
      </c>
      <c r="B11" s="6" t="s">
        <v>5</v>
      </c>
      <c r="C11" s="7" t="s">
        <v>672</v>
      </c>
      <c r="D11" s="6" t="s">
        <v>673</v>
      </c>
      <c r="E11" s="7" t="s">
        <v>674</v>
      </c>
      <c r="F11" s="7" t="s">
        <v>675</v>
      </c>
      <c r="G11" s="6" t="s">
        <v>7</v>
      </c>
    </row>
    <row r="12" spans="1:7">
      <c r="A12" s="6"/>
      <c r="B12" s="6"/>
      <c r="C12" s="6"/>
      <c r="D12" s="6"/>
      <c r="E12" s="6" t="s">
        <v>13</v>
      </c>
      <c r="F12" s="6"/>
      <c r="G12" s="6"/>
    </row>
    <row r="14" spans="1:7">
      <c r="A14" s="770"/>
      <c r="B14" s="125"/>
      <c r="C14" s="771"/>
      <c r="D14" s="125"/>
      <c r="E14" s="127"/>
      <c r="F14" s="127"/>
      <c r="G14" s="770"/>
    </row>
    <row r="15" spans="1:7">
      <c r="A15" s="125"/>
      <c r="B15" s="125"/>
      <c r="C15" s="200"/>
      <c r="D15" s="125"/>
      <c r="E15" s="127"/>
      <c r="F15" s="127"/>
      <c r="G15" s="125"/>
    </row>
    <row r="16" spans="1:7">
      <c r="A16" s="125"/>
      <c r="B16" s="125"/>
      <c r="C16" s="200"/>
      <c r="D16" s="125"/>
      <c r="E16" s="127"/>
      <c r="F16" s="127"/>
      <c r="G16" s="125"/>
    </row>
    <row r="17" spans="1:7">
      <c r="A17" s="125"/>
      <c r="B17" s="125"/>
      <c r="C17" s="200"/>
      <c r="D17" s="125"/>
      <c r="E17" s="127" t="s">
        <v>12</v>
      </c>
      <c r="F17" s="127" t="s">
        <v>600</v>
      </c>
      <c r="G17" s="125"/>
    </row>
    <row r="18" spans="1:7">
      <c r="A18" s="125"/>
      <c r="B18" s="125"/>
      <c r="C18" s="200"/>
      <c r="D18" s="125"/>
      <c r="E18" s="127" t="s">
        <v>12</v>
      </c>
      <c r="F18" s="127"/>
      <c r="G18" s="125"/>
    </row>
    <row r="19" spans="1:7">
      <c r="A19" s="201"/>
      <c r="B19" s="201"/>
      <c r="C19" s="201"/>
      <c r="D19" s="201"/>
      <c r="E19" s="201"/>
      <c r="F19" s="201"/>
      <c r="G19" s="201"/>
    </row>
    <row r="20" spans="1:7">
      <c r="A20" s="6" t="s">
        <v>9</v>
      </c>
      <c r="F20">
        <f>SUM(F14:F18)</f>
        <v>0</v>
      </c>
    </row>
    <row r="23" spans="1:7" ht="26.4">
      <c r="A23" s="202" t="s">
        <v>676</v>
      </c>
      <c r="B23" s="838"/>
      <c r="C23" s="3"/>
    </row>
    <row r="24" spans="1:7" ht="26.4">
      <c r="A24" s="202" t="s">
        <v>677</v>
      </c>
      <c r="B24" s="203"/>
      <c r="C24" s="3"/>
    </row>
    <row r="25" spans="1:7" ht="26.4">
      <c r="A25" s="202" t="s">
        <v>678</v>
      </c>
    </row>
    <row r="26" spans="1:7">
      <c r="A26" s="202"/>
    </row>
  </sheetData>
  <dataValidations count="1">
    <dataValidation type="list" allowBlank="1" showInputMessage="1" showErrorMessage="1" sqref="E14:E18" xr:uid="{00000000-0002-0000-1200-000000000000}">
      <formula1>"-,YES,NO"</formula1>
    </dataValidation>
  </dataValidations>
  <printOptions gridLines="1"/>
  <pageMargins left="0.5" right="0" top="1" bottom="1" header="0.5" footer="0.5"/>
  <pageSetup scale="95" orientation="landscape" r:id="rId1"/>
  <headerFooter alignWithMargins="0">
    <oddHeader>&amp;CEXISTING SCHOOL SUITABILITY REVIEW</oddHeader>
    <oddFooter>&amp;RFORM REVISED
OCTOBER 15, 2008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E24"/>
  <sheetViews>
    <sheetView workbookViewId="0">
      <pane ySplit="1" topLeftCell="A2" activePane="bottomLeft" state="frozen"/>
      <selection pane="bottomLeft" activeCell="J25" sqref="J25"/>
    </sheetView>
  </sheetViews>
  <sheetFormatPr defaultRowHeight="13.2"/>
  <cols>
    <col min="1" max="1" width="20.109375" bestFit="1" customWidth="1"/>
    <col min="2" max="2" width="13.6640625" customWidth="1"/>
    <col min="3" max="3" width="47.88671875" customWidth="1"/>
    <col min="4" max="4" width="17.44140625" customWidth="1"/>
    <col min="5" max="5" width="50" bestFit="1" customWidth="1"/>
  </cols>
  <sheetData>
    <row r="1" spans="1:5" s="462" customFormat="1">
      <c r="A1" s="477" t="s">
        <v>753</v>
      </c>
      <c r="B1" s="478" t="s">
        <v>749</v>
      </c>
      <c r="C1" s="478" t="s">
        <v>750</v>
      </c>
      <c r="D1" s="478" t="s">
        <v>751</v>
      </c>
      <c r="E1" s="479" t="s">
        <v>752</v>
      </c>
    </row>
    <row r="2" spans="1:5" s="3" customFormat="1">
      <c r="A2" s="480" t="s">
        <v>941</v>
      </c>
      <c r="B2" s="481" t="s">
        <v>755</v>
      </c>
      <c r="C2" s="482" t="s">
        <v>957</v>
      </c>
      <c r="D2" s="483" t="s">
        <v>942</v>
      </c>
    </row>
    <row r="3" spans="1:5" s="462" customFormat="1" ht="26.4">
      <c r="A3" s="484" t="s">
        <v>604</v>
      </c>
      <c r="B3" s="485" t="s">
        <v>755</v>
      </c>
      <c r="C3" s="482" t="s">
        <v>955</v>
      </c>
      <c r="D3" s="483" t="s">
        <v>952</v>
      </c>
    </row>
    <row r="4" spans="1:5" s="462" customFormat="1" ht="39.6">
      <c r="A4" s="484" t="s">
        <v>604</v>
      </c>
      <c r="B4" s="485" t="s">
        <v>755</v>
      </c>
      <c r="C4" s="482" t="s">
        <v>956</v>
      </c>
      <c r="D4" s="483" t="s">
        <v>952</v>
      </c>
    </row>
    <row r="5" spans="1:5" s="462" customFormat="1" ht="21" customHeight="1">
      <c r="A5" s="461" t="s">
        <v>950</v>
      </c>
      <c r="B5" s="476">
        <v>63</v>
      </c>
      <c r="C5" s="463" t="s">
        <v>951</v>
      </c>
      <c r="D5" s="464" t="s">
        <v>952</v>
      </c>
    </row>
    <row r="6" spans="1:5" s="462" customFormat="1">
      <c r="A6" s="461" t="s">
        <v>950</v>
      </c>
      <c r="B6" s="476">
        <v>66</v>
      </c>
      <c r="C6" s="463" t="s">
        <v>953</v>
      </c>
      <c r="D6" s="464" t="s">
        <v>952</v>
      </c>
    </row>
    <row r="7" spans="1:5" s="462" customFormat="1">
      <c r="A7" s="462" t="s">
        <v>950</v>
      </c>
      <c r="B7" s="476">
        <v>36</v>
      </c>
      <c r="C7" s="463" t="s">
        <v>954</v>
      </c>
      <c r="D7" s="464" t="s">
        <v>952</v>
      </c>
    </row>
    <row r="8" spans="1:5" s="462" customFormat="1"/>
    <row r="9" spans="1:5" s="462" customFormat="1"/>
    <row r="10" spans="1:5" s="462" customFormat="1"/>
    <row r="11" spans="1:5" s="3" customFormat="1"/>
    <row r="12" spans="1:5" s="3" customFormat="1"/>
    <row r="13" spans="1:5" s="3" customFormat="1"/>
    <row r="14" spans="1:5" s="3" customFormat="1"/>
    <row r="15" spans="1:5" s="3" customFormat="1"/>
    <row r="16" spans="1:5" s="3" customFormat="1"/>
    <row r="17" s="3" customFormat="1"/>
    <row r="18" s="3" customFormat="1"/>
    <row r="19" s="3" customFormat="1"/>
    <row r="20" s="3" customFormat="1"/>
    <row r="21" s="3" customFormat="1"/>
    <row r="22" s="3" customFormat="1"/>
    <row r="23" s="3" customFormat="1"/>
    <row r="24" s="3" customFormat="1"/>
  </sheetData>
  <sheetProtection password="DC60" sheet="1" objects="1" scenarios="1"/>
  <pageMargins left="0.7" right="0.7" top="0.75" bottom="0.75" header="0.3" footer="0.3"/>
  <pageSetup orientation="landscape" r:id="rId1"/>
  <headerFooter>
    <oddFooter>&amp;RApril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pageSetUpPr fitToPage="1"/>
  </sheetPr>
  <dimension ref="A1:S128"/>
  <sheetViews>
    <sheetView topLeftCell="A33" zoomScaleNormal="100" workbookViewId="0">
      <selection activeCell="F33" sqref="F33"/>
    </sheetView>
  </sheetViews>
  <sheetFormatPr defaultColWidth="9.109375" defaultRowHeight="13.2"/>
  <cols>
    <col min="1" max="1" width="12.33203125" style="14" customWidth="1"/>
    <col min="2" max="2" width="28.44140625" style="14" customWidth="1"/>
    <col min="3" max="3" width="12.109375" style="14" customWidth="1"/>
    <col min="4" max="4" width="12.5546875" style="121" customWidth="1"/>
    <col min="5" max="6" width="9.109375" style="14"/>
    <col min="7" max="8" width="10.33203125" style="14" customWidth="1"/>
    <col min="9" max="9" width="10.6640625" style="14" customWidth="1"/>
    <col min="10" max="10" width="9.88671875" style="14" customWidth="1"/>
    <col min="11" max="11" width="9.109375" style="14"/>
    <col min="12" max="12" width="9.44140625" style="14" customWidth="1"/>
    <col min="13" max="13" width="9.6640625" style="159" customWidth="1"/>
    <col min="14" max="14" width="6.44140625" style="13" hidden="1" customWidth="1"/>
    <col min="15" max="15" width="6.5546875" style="14" hidden="1" customWidth="1"/>
    <col min="16" max="16" width="4.88671875" style="14" hidden="1" customWidth="1"/>
    <col min="17" max="20" width="9.109375" style="14" customWidth="1"/>
    <col min="21" max="16384" width="9.109375" style="14"/>
  </cols>
  <sheetData>
    <row r="1" spans="1:16" ht="15.6" thickBot="1">
      <c r="A1" s="12" t="s">
        <v>38</v>
      </c>
      <c r="B1" s="13"/>
      <c r="C1" s="839"/>
      <c r="D1" s="840"/>
      <c r="F1" s="210"/>
      <c r="L1" s="241" t="s">
        <v>737</v>
      </c>
      <c r="M1" s="242" t="s">
        <v>738</v>
      </c>
      <c r="N1" s="242"/>
    </row>
    <row r="2" spans="1:16" ht="16.2" thickBot="1">
      <c r="A2" s="12" t="s">
        <v>39</v>
      </c>
      <c r="B2" s="13"/>
      <c r="C2" s="839"/>
      <c r="D2" s="840"/>
      <c r="F2" s="31" t="s">
        <v>537</v>
      </c>
      <c r="M2" s="13"/>
    </row>
    <row r="3" spans="1:16" ht="13.8" thickBot="1">
      <c r="A3" s="12" t="s">
        <v>40</v>
      </c>
      <c r="B3" s="13"/>
      <c r="C3" s="839"/>
      <c r="D3" s="840"/>
      <c r="F3" s="14" t="s">
        <v>462</v>
      </c>
      <c r="G3" s="858"/>
      <c r="H3" s="859"/>
      <c r="M3" s="13"/>
    </row>
    <row r="4" spans="1:16" ht="13.8" thickBot="1">
      <c r="A4" s="12" t="s">
        <v>41</v>
      </c>
      <c r="B4" s="13"/>
      <c r="C4" s="839"/>
      <c r="D4" s="840"/>
      <c r="F4" s="14" t="s">
        <v>463</v>
      </c>
      <c r="G4" s="140"/>
      <c r="M4" s="13"/>
    </row>
    <row r="5" spans="1:16" ht="13.8" thickBot="1">
      <c r="A5" s="15" t="s">
        <v>532</v>
      </c>
      <c r="M5" s="13"/>
    </row>
    <row r="6" spans="1:16" ht="13.8" thickTop="1">
      <c r="A6" s="154" t="s">
        <v>42</v>
      </c>
      <c r="B6" s="176"/>
      <c r="C6" s="109" t="s">
        <v>526</v>
      </c>
      <c r="D6" s="179"/>
      <c r="E6" s="15" t="s">
        <v>43</v>
      </c>
      <c r="G6" s="14" t="s">
        <v>44</v>
      </c>
      <c r="M6" s="13"/>
    </row>
    <row r="7" spans="1:16" ht="13.8" thickBot="1">
      <c r="A7" s="154" t="s">
        <v>521</v>
      </c>
      <c r="B7" s="177"/>
      <c r="C7" s="109" t="s">
        <v>527</v>
      </c>
      <c r="D7" s="180"/>
      <c r="E7" s="14" t="s">
        <v>45</v>
      </c>
      <c r="M7" s="13"/>
    </row>
    <row r="8" spans="1:16" ht="14.4" thickTop="1" thickBot="1">
      <c r="A8" s="154" t="s">
        <v>522</v>
      </c>
      <c r="B8" s="177"/>
      <c r="C8" s="109" t="s">
        <v>528</v>
      </c>
      <c r="D8" s="180"/>
      <c r="E8" s="14" t="s">
        <v>46</v>
      </c>
      <c r="G8" s="17" t="s">
        <v>3</v>
      </c>
      <c r="M8" s="13"/>
    </row>
    <row r="9" spans="1:16" ht="13.8" thickTop="1">
      <c r="A9" s="154" t="s">
        <v>523</v>
      </c>
      <c r="B9" s="177"/>
      <c r="C9" s="109" t="s">
        <v>529</v>
      </c>
      <c r="D9" s="180"/>
      <c r="E9" s="14" t="s">
        <v>48</v>
      </c>
      <c r="G9" s="378" t="str">
        <f>IF(G8="YES","NO","YES")</f>
        <v>YES</v>
      </c>
      <c r="M9" s="13"/>
    </row>
    <row r="10" spans="1:16">
      <c r="A10" s="154" t="s">
        <v>524</v>
      </c>
      <c r="B10" s="177"/>
      <c r="C10" s="109" t="s">
        <v>530</v>
      </c>
      <c r="D10" s="180"/>
      <c r="G10" s="175"/>
      <c r="M10" s="13"/>
    </row>
    <row r="11" spans="1:16" ht="13.8" thickBot="1">
      <c r="A11" s="154" t="s">
        <v>525</v>
      </c>
      <c r="B11" s="177"/>
      <c r="C11" s="109" t="s">
        <v>531</v>
      </c>
      <c r="D11" s="178"/>
      <c r="E11" s="15" t="s">
        <v>49</v>
      </c>
      <c r="G11" s="175"/>
      <c r="M11" s="13"/>
    </row>
    <row r="12" spans="1:16" s="13" customFormat="1" ht="14.4" thickTop="1" thickBot="1">
      <c r="A12" s="155" t="s">
        <v>47</v>
      </c>
      <c r="B12" s="178"/>
      <c r="C12" s="153" t="s">
        <v>9</v>
      </c>
      <c r="D12" s="211">
        <f>SUM(B6:B12)+SUM(D6:D11)</f>
        <v>0</v>
      </c>
      <c r="E12" s="13" t="s">
        <v>50</v>
      </c>
      <c r="I12" s="841" t="s">
        <v>1112</v>
      </c>
      <c r="J12" s="842"/>
    </row>
    <row r="13" spans="1:16" ht="13.5" customHeight="1" thickTop="1" thickBot="1">
      <c r="B13" s="15"/>
      <c r="C13" s="13"/>
      <c r="D13" s="13"/>
      <c r="E13" s="15" t="s">
        <v>51</v>
      </c>
      <c r="F13" s="16"/>
      <c r="G13" s="16"/>
      <c r="H13" s="16"/>
      <c r="I13" s="319"/>
      <c r="J13" s="14" t="s">
        <v>52</v>
      </c>
      <c r="L13" s="13"/>
      <c r="M13" s="13"/>
      <c r="O13" s="13"/>
      <c r="P13" s="13"/>
    </row>
    <row r="14" spans="1:16" hidden="1">
      <c r="A14" s="296"/>
      <c r="B14" s="297"/>
      <c r="C14" s="298"/>
      <c r="D14" s="298"/>
      <c r="E14" s="299"/>
      <c r="G14" s="310"/>
      <c r="H14" s="311"/>
      <c r="I14" s="311"/>
      <c r="J14" s="311"/>
      <c r="K14" s="311"/>
      <c r="L14" s="311"/>
      <c r="M14" s="299"/>
      <c r="O14" s="13"/>
      <c r="P14" s="13"/>
    </row>
    <row r="15" spans="1:16" hidden="1">
      <c r="A15" s="300" t="s">
        <v>53</v>
      </c>
      <c r="B15" s="245" t="s">
        <v>54</v>
      </c>
      <c r="C15" s="246"/>
      <c r="D15" s="247"/>
      <c r="E15" s="301" t="e">
        <f>(SUM(E29:E32)+E45+E46+SUM(E49:E52)+E56+E57+E64)+((B6+M15+M16)/D12)*(SUM(E73:E79)+SUM(E81:E85)+E94+SUM(E96:E102)-E97+SUM(E104:E115))</f>
        <v>#DIV/0!</v>
      </c>
      <c r="F15" s="22"/>
      <c r="G15" s="312" t="s">
        <v>55</v>
      </c>
      <c r="H15" s="21" t="s">
        <v>54</v>
      </c>
      <c r="I15" s="22"/>
      <c r="J15" s="23"/>
      <c r="K15" s="183" t="e">
        <f>SUM(E33:E44)+E47+E48+SUM(E53:E55)+SUM(E58:E63)+SUM(E65:E69)+E87+E88+((B12+M17+M18)/D12)*(SUM(E73:E78)+SUM(E81:E85)+E94+E96+SUM(E98:E102)+SUM(E104:E115))</f>
        <v>#DIV/0!</v>
      </c>
      <c r="L15" s="157" t="s">
        <v>533</v>
      </c>
      <c r="M15" s="313">
        <f>B7+B8+B9</f>
        <v>0</v>
      </c>
      <c r="N15" s="18"/>
      <c r="O15" s="13"/>
      <c r="P15" s="13"/>
    </row>
    <row r="16" spans="1:16" hidden="1">
      <c r="A16" s="300" t="s">
        <v>53</v>
      </c>
      <c r="B16" s="271" t="s">
        <v>56</v>
      </c>
      <c r="C16" s="246"/>
      <c r="D16" s="247"/>
      <c r="E16" s="302" t="e">
        <f>E15*0.1</f>
        <v>#DIV/0!</v>
      </c>
      <c r="F16" s="22"/>
      <c r="G16" s="312" t="s">
        <v>55</v>
      </c>
      <c r="H16" s="21" t="s">
        <v>57</v>
      </c>
      <c r="I16" s="22"/>
      <c r="J16" s="23"/>
      <c r="K16" s="24" t="e">
        <f>K15*0.15</f>
        <v>#DIV/0!</v>
      </c>
      <c r="L16" s="270" t="s">
        <v>534</v>
      </c>
      <c r="M16" s="313">
        <f>B10+B11</f>
        <v>0</v>
      </c>
      <c r="N16" s="18"/>
      <c r="O16" s="13"/>
      <c r="P16" s="13"/>
    </row>
    <row r="17" spans="1:19" hidden="1">
      <c r="A17" s="300" t="s">
        <v>53</v>
      </c>
      <c r="B17" s="245" t="s">
        <v>58</v>
      </c>
      <c r="C17" s="246"/>
      <c r="D17" s="247"/>
      <c r="E17" s="302" t="e">
        <f>E15+E16</f>
        <v>#DIV/0!</v>
      </c>
      <c r="F17" s="22"/>
      <c r="G17" s="312" t="s">
        <v>55</v>
      </c>
      <c r="H17" s="21" t="s">
        <v>58</v>
      </c>
      <c r="I17" s="22"/>
      <c r="J17" s="23"/>
      <c r="K17" s="24" t="e">
        <f>K15+K16</f>
        <v>#DIV/0!</v>
      </c>
      <c r="L17" s="270" t="s">
        <v>535</v>
      </c>
      <c r="M17" s="314">
        <f>D6+D7</f>
        <v>0</v>
      </c>
      <c r="O17" s="13"/>
      <c r="P17" s="13"/>
    </row>
    <row r="18" spans="1:19" hidden="1">
      <c r="A18" s="300" t="s">
        <v>53</v>
      </c>
      <c r="B18" s="245" t="s">
        <v>59</v>
      </c>
      <c r="C18" s="246"/>
      <c r="D18" s="244"/>
      <c r="E18" s="303">
        <v>0.1</v>
      </c>
      <c r="F18" s="16"/>
      <c r="G18" s="312" t="s">
        <v>55</v>
      </c>
      <c r="H18" s="21" t="s">
        <v>59</v>
      </c>
      <c r="I18" s="22"/>
      <c r="J18" s="20"/>
      <c r="K18" s="25">
        <v>0.1</v>
      </c>
      <c r="L18" s="157" t="s">
        <v>536</v>
      </c>
      <c r="M18" s="314">
        <f>SUM(D8:D11)</f>
        <v>0</v>
      </c>
      <c r="O18" s="13"/>
      <c r="P18" s="13"/>
    </row>
    <row r="19" spans="1:19" hidden="1">
      <c r="A19" s="300" t="s">
        <v>53</v>
      </c>
      <c r="B19" s="245" t="s">
        <v>60</v>
      </c>
      <c r="C19" s="246"/>
      <c r="D19" s="248"/>
      <c r="E19" s="304" t="e">
        <f>1.1*E17</f>
        <v>#DIV/0!</v>
      </c>
      <c r="F19" s="16"/>
      <c r="G19" s="312" t="s">
        <v>55</v>
      </c>
      <c r="H19" s="849" t="s">
        <v>60</v>
      </c>
      <c r="I19" s="849"/>
      <c r="J19" s="849"/>
      <c r="K19" s="27" t="e">
        <f>1.1*K17</f>
        <v>#DIV/0!</v>
      </c>
      <c r="L19" s="156"/>
      <c r="M19" s="314"/>
      <c r="O19" s="13"/>
      <c r="P19" s="13"/>
    </row>
    <row r="20" spans="1:19" ht="13.8" hidden="1" thickBot="1">
      <c r="A20" s="305"/>
      <c r="B20" s="306"/>
      <c r="C20" s="307"/>
      <c r="D20" s="308"/>
      <c r="E20" s="309"/>
      <c r="F20" s="16"/>
      <c r="G20" s="315"/>
      <c r="H20" s="316"/>
      <c r="I20" s="316"/>
      <c r="J20" s="316"/>
      <c r="K20" s="316"/>
      <c r="L20" s="317"/>
      <c r="M20" s="318"/>
      <c r="O20" s="13"/>
      <c r="P20" s="13"/>
    </row>
    <row r="21" spans="1:19">
      <c r="A21" s="29"/>
      <c r="B21" s="28" t="s">
        <v>61</v>
      </c>
      <c r="C21" s="22"/>
      <c r="D21" s="23"/>
      <c r="E21" s="24">
        <f>IF(D$12=0,0,E15+K15)</f>
        <v>0</v>
      </c>
      <c r="F21" s="16" t="s">
        <v>62</v>
      </c>
      <c r="G21" s="16"/>
      <c r="M21" s="13"/>
      <c r="O21" s="13"/>
      <c r="P21" s="13"/>
      <c r="R21" s="16" t="s">
        <v>600</v>
      </c>
    </row>
    <row r="22" spans="1:19" ht="13.8" thickBot="1">
      <c r="A22" s="29"/>
      <c r="B22" s="28" t="s">
        <v>37</v>
      </c>
      <c r="C22" s="22"/>
      <c r="D22" s="23"/>
      <c r="E22" s="24">
        <f>IF(D$12=0,0,E16+K16)</f>
        <v>0</v>
      </c>
      <c r="F22" s="16" t="s">
        <v>62</v>
      </c>
      <c r="G22" s="16"/>
      <c r="H22" s="16"/>
      <c r="I22" s="16"/>
      <c r="J22" s="16"/>
      <c r="K22" s="16"/>
      <c r="L22" s="13"/>
      <c r="M22" s="358"/>
      <c r="N22" s="358"/>
      <c r="O22" s="13"/>
      <c r="P22" s="13"/>
    </row>
    <row r="23" spans="1:19" ht="14.4" thickTop="1" thickBot="1">
      <c r="A23" s="29"/>
      <c r="B23" s="28" t="s">
        <v>63</v>
      </c>
      <c r="C23" s="22"/>
      <c r="D23" s="23"/>
      <c r="E23" s="24">
        <f>IF(D$12=0,0,E17+K17)</f>
        <v>0</v>
      </c>
      <c r="F23" s="16" t="s">
        <v>62</v>
      </c>
      <c r="G23" s="16"/>
      <c r="H23" s="16" t="s">
        <v>538</v>
      </c>
      <c r="I23" s="16"/>
      <c r="J23" s="376">
        <f>SUM(K29:K115)+SupportSpaces!E159</f>
        <v>0</v>
      </c>
      <c r="K23" s="13" t="s">
        <v>64</v>
      </c>
      <c r="M23" s="13"/>
      <c r="O23" s="13"/>
      <c r="P23" s="13"/>
    </row>
    <row r="24" spans="1:19" ht="13.8" thickTop="1">
      <c r="A24" s="29"/>
      <c r="B24" s="28" t="s">
        <v>59</v>
      </c>
      <c r="C24" s="22"/>
      <c r="D24" s="20"/>
      <c r="E24" s="25">
        <v>0.1</v>
      </c>
      <c r="F24" s="16"/>
      <c r="G24" s="16"/>
      <c r="H24" s="16" t="s">
        <v>539</v>
      </c>
      <c r="I24" s="16"/>
      <c r="J24" s="377">
        <f>SUM(G29:G115)+SupportSpaces!E159</f>
        <v>0</v>
      </c>
      <c r="K24" s="13" t="s">
        <v>64</v>
      </c>
      <c r="M24" s="13"/>
      <c r="O24" s="13"/>
      <c r="P24" s="13"/>
    </row>
    <row r="25" spans="1:19" ht="13.8" thickBot="1">
      <c r="A25" s="29"/>
      <c r="B25" s="28" t="s">
        <v>66</v>
      </c>
      <c r="C25" s="22"/>
      <c r="D25" s="26"/>
      <c r="E25" s="24">
        <f>IF(D$12=0,0,E19+K19)</f>
        <v>0</v>
      </c>
      <c r="F25" s="16" t="s">
        <v>62</v>
      </c>
      <c r="G25" s="16"/>
      <c r="H25" s="16"/>
      <c r="I25" s="16"/>
      <c r="J25" s="16"/>
      <c r="K25" s="16"/>
      <c r="L25" s="13"/>
      <c r="M25" s="13"/>
      <c r="O25" s="13"/>
      <c r="P25" s="13"/>
    </row>
    <row r="26" spans="1:19" ht="39.75" customHeight="1" thickTop="1" thickBot="1">
      <c r="A26" s="30"/>
      <c r="B26" s="31" t="s">
        <v>67</v>
      </c>
      <c r="C26" s="32" t="s">
        <v>27</v>
      </c>
      <c r="D26" s="843" t="s">
        <v>67</v>
      </c>
      <c r="E26" s="844"/>
      <c r="F26" s="852" t="s">
        <v>65</v>
      </c>
      <c r="G26" s="853"/>
      <c r="H26" s="854" t="s">
        <v>68</v>
      </c>
      <c r="I26" s="855"/>
      <c r="J26" s="856" t="s">
        <v>69</v>
      </c>
      <c r="K26" s="857"/>
      <c r="L26" s="862" t="s">
        <v>14</v>
      </c>
      <c r="M26" s="863"/>
      <c r="N26" s="415"/>
      <c r="O26" s="13"/>
      <c r="P26" s="13"/>
    </row>
    <row r="27" spans="1:19" ht="13.8" thickTop="1">
      <c r="A27" s="33" t="s">
        <v>70</v>
      </c>
      <c r="B27" s="34"/>
      <c r="C27" s="283" t="s">
        <v>28</v>
      </c>
      <c r="D27" s="35" t="s">
        <v>71</v>
      </c>
      <c r="E27" s="273" t="s">
        <v>72</v>
      </c>
      <c r="F27" s="284" t="s">
        <v>71</v>
      </c>
      <c r="G27" s="288" t="s">
        <v>72</v>
      </c>
      <c r="H27" s="284" t="s">
        <v>71</v>
      </c>
      <c r="I27" s="285" t="s">
        <v>72</v>
      </c>
      <c r="J27" s="36" t="s">
        <v>71</v>
      </c>
      <c r="K27" s="172" t="s">
        <v>72</v>
      </c>
      <c r="L27" s="171" t="s">
        <v>71</v>
      </c>
      <c r="M27" s="173" t="s">
        <v>72</v>
      </c>
      <c r="N27" s="41"/>
      <c r="O27" s="13"/>
      <c r="P27" s="13"/>
      <c r="S27" s="16"/>
    </row>
    <row r="28" spans="1:19">
      <c r="A28" s="39"/>
      <c r="B28" s="40" t="s">
        <v>16</v>
      </c>
      <c r="C28" s="228"/>
      <c r="D28" s="42"/>
      <c r="E28" s="274"/>
      <c r="F28" s="45"/>
      <c r="G28" s="44"/>
      <c r="H28" s="45"/>
      <c r="I28" s="233"/>
      <c r="J28" s="43"/>
      <c r="K28" s="44"/>
      <c r="L28" s="43"/>
      <c r="M28" s="44"/>
      <c r="O28" s="13"/>
      <c r="P28" s="13"/>
    </row>
    <row r="29" spans="1:19">
      <c r="A29" s="46" t="s">
        <v>73</v>
      </c>
      <c r="B29" s="279" t="s">
        <v>74</v>
      </c>
      <c r="C29" s="389">
        <v>1000</v>
      </c>
      <c r="D29" s="379">
        <f>ROUNDUP(B6/20,0)</f>
        <v>0</v>
      </c>
      <c r="E29" s="380">
        <f t="shared" ref="E29:E68" si="0">C29*D29</f>
        <v>0</v>
      </c>
      <c r="F29" s="765"/>
      <c r="G29" s="836"/>
      <c r="H29" s="286"/>
      <c r="I29" s="359"/>
      <c r="J29" s="372">
        <f t="shared" ref="J29:J68" si="1">F29+H29</f>
        <v>0</v>
      </c>
      <c r="K29" s="324">
        <f t="shared" ref="K29:K69" si="2">G29+I29</f>
        <v>0</v>
      </c>
      <c r="L29" s="325">
        <f t="shared" ref="L29:L68" si="3">J29-D29</f>
        <v>0</v>
      </c>
      <c r="M29" s="371">
        <f t="shared" ref="M29:M68" si="4">K29-E29</f>
        <v>0</v>
      </c>
      <c r="N29" s="371">
        <f t="shared" ref="N29:N35" si="5">IF(M29&gt;0,M29,-M29)</f>
        <v>0</v>
      </c>
      <c r="O29" s="412">
        <f t="shared" ref="O29:O35" si="6">IF(G29=FALSE,0,IF(N29&gt;=0,(E29-I29),0))</f>
        <v>0</v>
      </c>
      <c r="P29" s="13">
        <f>IF(O29&lt;0,0,O29)</f>
        <v>0</v>
      </c>
    </row>
    <row r="30" spans="1:19">
      <c r="A30" s="46" t="s">
        <v>75</v>
      </c>
      <c r="B30" s="279" t="s">
        <v>76</v>
      </c>
      <c r="C30" s="389">
        <v>45</v>
      </c>
      <c r="D30" s="379">
        <f>D29</f>
        <v>0</v>
      </c>
      <c r="E30" s="380">
        <f t="shared" si="0"/>
        <v>0</v>
      </c>
      <c r="F30" s="765"/>
      <c r="G30" s="50"/>
      <c r="H30" s="286"/>
      <c r="I30" s="359"/>
      <c r="J30" s="372">
        <f t="shared" si="1"/>
        <v>0</v>
      </c>
      <c r="K30" s="324">
        <f t="shared" si="2"/>
        <v>0</v>
      </c>
      <c r="L30" s="325">
        <f t="shared" si="3"/>
        <v>0</v>
      </c>
      <c r="M30" s="371">
        <f t="shared" si="4"/>
        <v>0</v>
      </c>
      <c r="N30" s="371">
        <f t="shared" si="5"/>
        <v>0</v>
      </c>
      <c r="O30" s="412">
        <f t="shared" si="6"/>
        <v>0</v>
      </c>
      <c r="P30" s="13">
        <f t="shared" ref="P30:P88" si="7">IF(O30&lt;0,0,O30)</f>
        <v>0</v>
      </c>
      <c r="R30" s="320"/>
    </row>
    <row r="31" spans="1:19">
      <c r="A31" s="46" t="s">
        <v>77</v>
      </c>
      <c r="B31" s="279" t="s">
        <v>78</v>
      </c>
      <c r="C31" s="389">
        <v>850</v>
      </c>
      <c r="D31" s="379">
        <f>ROUNDUP(B7/25,0)+ROUNDUP(B8/25,0)+ROUNDUP(B9/25,0)</f>
        <v>0</v>
      </c>
      <c r="E31" s="380">
        <f t="shared" si="0"/>
        <v>0</v>
      </c>
      <c r="F31" s="765"/>
      <c r="G31" s="837"/>
      <c r="H31" s="287"/>
      <c r="I31" s="359"/>
      <c r="J31" s="372">
        <f t="shared" si="1"/>
        <v>0</v>
      </c>
      <c r="K31" s="324">
        <f t="shared" si="2"/>
        <v>0</v>
      </c>
      <c r="L31" s="325">
        <f t="shared" si="3"/>
        <v>0</v>
      </c>
      <c r="M31" s="371">
        <f t="shared" si="4"/>
        <v>0</v>
      </c>
      <c r="N31" s="371">
        <f t="shared" si="5"/>
        <v>0</v>
      </c>
      <c r="O31" s="412">
        <f t="shared" si="6"/>
        <v>0</v>
      </c>
      <c r="P31" s="13">
        <f t="shared" si="7"/>
        <v>0</v>
      </c>
    </row>
    <row r="32" spans="1:19">
      <c r="A32" s="46" t="s">
        <v>79</v>
      </c>
      <c r="B32" s="279" t="s">
        <v>80</v>
      </c>
      <c r="C32" s="389">
        <v>850</v>
      </c>
      <c r="D32" s="379">
        <f>ROUNDUP(B10/28,0)+ROUNDUP(B11/28,0)</f>
        <v>0</v>
      </c>
      <c r="E32" s="380">
        <f t="shared" si="0"/>
        <v>0</v>
      </c>
      <c r="F32" s="765"/>
      <c r="G32" s="836"/>
      <c r="H32" s="286"/>
      <c r="I32" s="359"/>
      <c r="J32" s="372">
        <f t="shared" si="1"/>
        <v>0</v>
      </c>
      <c r="K32" s="324">
        <f t="shared" si="2"/>
        <v>0</v>
      </c>
      <c r="L32" s="325">
        <f t="shared" si="3"/>
        <v>0</v>
      </c>
      <c r="M32" s="371">
        <f t="shared" si="4"/>
        <v>0</v>
      </c>
      <c r="N32" s="371">
        <f t="shared" si="5"/>
        <v>0</v>
      </c>
      <c r="O32" s="412">
        <f t="shared" si="6"/>
        <v>0</v>
      </c>
      <c r="P32" s="13">
        <f t="shared" si="7"/>
        <v>0</v>
      </c>
    </row>
    <row r="33" spans="1:17">
      <c r="A33" s="46" t="s">
        <v>81</v>
      </c>
      <c r="B33" s="279" t="s">
        <v>82</v>
      </c>
      <c r="C33" s="389">
        <v>850</v>
      </c>
      <c r="D33" s="379">
        <f>ROUNDUP(B12/28,0)</f>
        <v>0</v>
      </c>
      <c r="E33" s="380">
        <f t="shared" si="0"/>
        <v>0</v>
      </c>
      <c r="F33" s="765"/>
      <c r="G33" s="766"/>
      <c r="H33" s="287"/>
      <c r="I33" s="359"/>
      <c r="J33" s="372">
        <f t="shared" si="1"/>
        <v>0</v>
      </c>
      <c r="K33" s="324">
        <f t="shared" si="2"/>
        <v>0</v>
      </c>
      <c r="L33" s="325">
        <f t="shared" si="3"/>
        <v>0</v>
      </c>
      <c r="M33" s="371">
        <f t="shared" si="4"/>
        <v>0</v>
      </c>
      <c r="N33" s="371">
        <f t="shared" si="5"/>
        <v>0</v>
      </c>
      <c r="O33" s="412">
        <f t="shared" si="6"/>
        <v>0</v>
      </c>
      <c r="P33" s="13">
        <f t="shared" si="7"/>
        <v>0</v>
      </c>
    </row>
    <row r="34" spans="1:17">
      <c r="A34" s="46" t="s">
        <v>83</v>
      </c>
      <c r="B34" s="279" t="s">
        <v>84</v>
      </c>
      <c r="C34" s="389">
        <v>850</v>
      </c>
      <c r="D34" s="379">
        <f>ROUNDUP((D6+D7)/30,0)</f>
        <v>0</v>
      </c>
      <c r="E34" s="380">
        <f t="shared" si="0"/>
        <v>0</v>
      </c>
      <c r="F34" s="773"/>
      <c r="G34" s="359"/>
      <c r="H34" s="774"/>
      <c r="I34" s="69"/>
      <c r="J34" s="372">
        <f t="shared" si="1"/>
        <v>0</v>
      </c>
      <c r="K34" s="324">
        <f t="shared" si="2"/>
        <v>0</v>
      </c>
      <c r="L34" s="325">
        <f t="shared" si="3"/>
        <v>0</v>
      </c>
      <c r="M34" s="371">
        <f t="shared" si="4"/>
        <v>0</v>
      </c>
      <c r="N34" s="371">
        <f t="shared" si="5"/>
        <v>0</v>
      </c>
      <c r="O34" s="412">
        <f t="shared" si="6"/>
        <v>0</v>
      </c>
      <c r="P34" s="13">
        <f t="shared" si="7"/>
        <v>0</v>
      </c>
    </row>
    <row r="35" spans="1:17">
      <c r="A35" s="46" t="s">
        <v>603</v>
      </c>
      <c r="B35" s="280" t="s">
        <v>604</v>
      </c>
      <c r="C35" s="389">
        <v>1300</v>
      </c>
      <c r="D35" s="379">
        <f>IF((D6+D7)=0,0,IF((B12+D6+D7)&lt;700,1,2))</f>
        <v>0</v>
      </c>
      <c r="E35" s="380">
        <f t="shared" si="0"/>
        <v>0</v>
      </c>
      <c r="F35" s="773"/>
      <c r="G35" s="359"/>
      <c r="H35" s="775"/>
      <c r="I35" s="776"/>
      <c r="J35" s="372">
        <f t="shared" si="1"/>
        <v>0</v>
      </c>
      <c r="K35" s="324">
        <f t="shared" si="2"/>
        <v>0</v>
      </c>
      <c r="L35" s="325">
        <f t="shared" si="3"/>
        <v>0</v>
      </c>
      <c r="M35" s="371">
        <f t="shared" si="4"/>
        <v>0</v>
      </c>
      <c r="N35" s="371">
        <f t="shared" si="5"/>
        <v>0</v>
      </c>
      <c r="O35" s="412">
        <f t="shared" si="6"/>
        <v>0</v>
      </c>
      <c r="P35" s="13">
        <f t="shared" si="7"/>
        <v>0</v>
      </c>
    </row>
    <row r="36" spans="1:17">
      <c r="A36" s="46" t="s">
        <v>86</v>
      </c>
      <c r="B36" s="279" t="s">
        <v>87</v>
      </c>
      <c r="C36" s="389">
        <v>850</v>
      </c>
      <c r="D36" s="379">
        <f>ROUNDUP((D8+D9+D10+D11)/30,0)-(D37+D38+D39)</f>
        <v>0</v>
      </c>
      <c r="E36" s="380">
        <f t="shared" si="0"/>
        <v>0</v>
      </c>
      <c r="F36" s="773"/>
      <c r="G36" s="359"/>
      <c r="H36" s="774"/>
      <c r="I36" s="69"/>
      <c r="J36" s="372">
        <f t="shared" si="1"/>
        <v>0</v>
      </c>
      <c r="K36" s="324">
        <f t="shared" si="2"/>
        <v>0</v>
      </c>
      <c r="L36" s="325">
        <f t="shared" si="3"/>
        <v>0</v>
      </c>
      <c r="M36" s="371">
        <f>K36-E36</f>
        <v>0</v>
      </c>
      <c r="N36" s="371">
        <f>IF(M36&gt;0,M36,-M36)</f>
        <v>0</v>
      </c>
      <c r="O36" s="412">
        <f>IF(G36=FALSE,0,IF(N36&gt;=0,(E36-I36),0))</f>
        <v>0</v>
      </c>
      <c r="P36" s="13">
        <f>IF(O36&lt;0,0,O36)</f>
        <v>0</v>
      </c>
      <c r="Q36" s="16"/>
    </row>
    <row r="37" spans="1:17">
      <c r="A37" s="46" t="s">
        <v>88</v>
      </c>
      <c r="B37" s="279" t="s">
        <v>89</v>
      </c>
      <c r="C37" s="389">
        <v>1440</v>
      </c>
      <c r="D37" s="379">
        <f>IF(M18=0,0,MAX(1,ROUNDDOWN(M$18/500,0)))</f>
        <v>0</v>
      </c>
      <c r="E37" s="380">
        <f t="shared" si="0"/>
        <v>0</v>
      </c>
      <c r="F37" s="773"/>
      <c r="G37" s="359"/>
      <c r="H37" s="775"/>
      <c r="I37" s="776"/>
      <c r="J37" s="372">
        <f t="shared" si="1"/>
        <v>0</v>
      </c>
      <c r="K37" s="324">
        <f t="shared" si="2"/>
        <v>0</v>
      </c>
      <c r="L37" s="325">
        <f t="shared" si="3"/>
        <v>0</v>
      </c>
      <c r="M37" s="371">
        <f t="shared" si="4"/>
        <v>0</v>
      </c>
      <c r="N37" s="371">
        <f t="shared" ref="N37:N68" si="8">IF(M37&gt;0,M37,-M37)</f>
        <v>0</v>
      </c>
      <c r="O37" s="412">
        <f>IF(G37=FALSE,0,IF(N37&gt;=0,(E37-I37),0))</f>
        <v>0</v>
      </c>
      <c r="P37" s="13">
        <f t="shared" si="7"/>
        <v>0</v>
      </c>
    </row>
    <row r="38" spans="1:17">
      <c r="A38" s="46" t="s">
        <v>90</v>
      </c>
      <c r="B38" s="279" t="s">
        <v>91</v>
      </c>
      <c r="C38" s="389">
        <v>1440</v>
      </c>
      <c r="D38" s="379">
        <f>IF(M18=0,0,IF(M18&lt;500,0,IF(M18&lt;1500,1,IF(M18&lt;2000,2,3))))</f>
        <v>0</v>
      </c>
      <c r="E38" s="380">
        <f t="shared" si="0"/>
        <v>0</v>
      </c>
      <c r="F38" s="773"/>
      <c r="G38" s="359"/>
      <c r="H38" s="775"/>
      <c r="I38" s="776"/>
      <c r="J38" s="372">
        <f t="shared" si="1"/>
        <v>0</v>
      </c>
      <c r="K38" s="324">
        <f t="shared" si="2"/>
        <v>0</v>
      </c>
      <c r="L38" s="325">
        <f t="shared" si="3"/>
        <v>0</v>
      </c>
      <c r="M38" s="371">
        <f t="shared" si="4"/>
        <v>0</v>
      </c>
      <c r="N38" s="371">
        <f t="shared" si="8"/>
        <v>0</v>
      </c>
      <c r="O38" s="412">
        <f t="shared" ref="O38:O68" si="9">IF(G38=FALSE,0,IF(N38&gt;=0,(E38-I38),0))</f>
        <v>0</v>
      </c>
      <c r="P38" s="13">
        <f t="shared" si="7"/>
        <v>0</v>
      </c>
    </row>
    <row r="39" spans="1:17">
      <c r="A39" s="46" t="s">
        <v>92</v>
      </c>
      <c r="B39" s="279" t="s">
        <v>93</v>
      </c>
      <c r="C39" s="389">
        <v>1440</v>
      </c>
      <c r="D39" s="379">
        <f>IF(M18=0,0,IF(M18&lt;1001,1,D38))</f>
        <v>0</v>
      </c>
      <c r="E39" s="380">
        <f t="shared" si="0"/>
        <v>0</v>
      </c>
      <c r="F39" s="773"/>
      <c r="G39" s="359"/>
      <c r="H39" s="775"/>
      <c r="I39" s="776"/>
      <c r="J39" s="372">
        <f t="shared" si="1"/>
        <v>0</v>
      </c>
      <c r="K39" s="324">
        <f t="shared" si="2"/>
        <v>0</v>
      </c>
      <c r="L39" s="325">
        <f t="shared" si="3"/>
        <v>0</v>
      </c>
      <c r="M39" s="371">
        <f>K39-E39</f>
        <v>0</v>
      </c>
      <c r="N39" s="371">
        <f t="shared" si="8"/>
        <v>0</v>
      </c>
      <c r="O39" s="412">
        <f t="shared" si="9"/>
        <v>0</v>
      </c>
      <c r="P39" s="13">
        <f t="shared" si="7"/>
        <v>0</v>
      </c>
    </row>
    <row r="40" spans="1:17">
      <c r="A40" s="46" t="s">
        <v>94</v>
      </c>
      <c r="B40" s="279" t="s">
        <v>95</v>
      </c>
      <c r="C40" s="389">
        <v>300</v>
      </c>
      <c r="D40" s="379">
        <f>IF(M18&lt;500,0,IF(M18&lt;1000,2,IF(M18&lt;2000,4,6)))</f>
        <v>0</v>
      </c>
      <c r="E40" s="380">
        <f t="shared" si="0"/>
        <v>0</v>
      </c>
      <c r="F40" s="773"/>
      <c r="G40" s="359"/>
      <c r="H40" s="775"/>
      <c r="I40" s="776"/>
      <c r="J40" s="372">
        <f t="shared" si="1"/>
        <v>0</v>
      </c>
      <c r="K40" s="324">
        <f t="shared" si="2"/>
        <v>0</v>
      </c>
      <c r="L40" s="325">
        <f t="shared" si="3"/>
        <v>0</v>
      </c>
      <c r="M40" s="371">
        <f t="shared" si="4"/>
        <v>0</v>
      </c>
      <c r="N40" s="371">
        <f t="shared" si="8"/>
        <v>0</v>
      </c>
      <c r="O40" s="412">
        <f t="shared" si="9"/>
        <v>0</v>
      </c>
      <c r="P40" s="13">
        <f t="shared" si="7"/>
        <v>0</v>
      </c>
    </row>
    <row r="41" spans="1:17">
      <c r="A41" s="46" t="s">
        <v>96</v>
      </c>
      <c r="B41" s="279" t="s">
        <v>97</v>
      </c>
      <c r="C41" s="389">
        <v>150</v>
      </c>
      <c r="D41" s="379">
        <f>IF(M18&lt;500,0,IF(M18&lt;1500,1,2))</f>
        <v>0</v>
      </c>
      <c r="E41" s="380">
        <f t="shared" si="0"/>
        <v>0</v>
      </c>
      <c r="F41" s="773"/>
      <c r="G41" s="359"/>
      <c r="H41" s="775"/>
      <c r="I41" s="776"/>
      <c r="J41" s="372">
        <f t="shared" si="1"/>
        <v>0</v>
      </c>
      <c r="K41" s="324">
        <f t="shared" si="2"/>
        <v>0</v>
      </c>
      <c r="L41" s="325">
        <f t="shared" si="3"/>
        <v>0</v>
      </c>
      <c r="M41" s="371">
        <f t="shared" si="4"/>
        <v>0</v>
      </c>
      <c r="N41" s="371">
        <f t="shared" si="8"/>
        <v>0</v>
      </c>
      <c r="O41" s="412">
        <f t="shared" si="9"/>
        <v>0</v>
      </c>
      <c r="P41" s="13">
        <f t="shared" si="7"/>
        <v>0</v>
      </c>
    </row>
    <row r="42" spans="1:17">
      <c r="A42" s="46" t="s">
        <v>98</v>
      </c>
      <c r="B42" s="279" t="s">
        <v>99</v>
      </c>
      <c r="C42" s="389">
        <v>1500</v>
      </c>
      <c r="D42" s="379">
        <f>IF(M18&lt;500,0,IF(M18&lt;1500,1,2))</f>
        <v>0</v>
      </c>
      <c r="E42" s="380">
        <f t="shared" si="0"/>
        <v>0</v>
      </c>
      <c r="F42" s="773"/>
      <c r="G42" s="359"/>
      <c r="H42" s="775"/>
      <c r="I42" s="776"/>
      <c r="J42" s="372">
        <f t="shared" si="1"/>
        <v>0</v>
      </c>
      <c r="K42" s="324">
        <f t="shared" si="2"/>
        <v>0</v>
      </c>
      <c r="L42" s="325">
        <f t="shared" si="3"/>
        <v>0</v>
      </c>
      <c r="M42" s="371">
        <f t="shared" si="4"/>
        <v>0</v>
      </c>
      <c r="N42" s="371">
        <f t="shared" si="8"/>
        <v>0</v>
      </c>
      <c r="O42" s="412">
        <f t="shared" si="9"/>
        <v>0</v>
      </c>
      <c r="P42" s="13">
        <f t="shared" si="7"/>
        <v>0</v>
      </c>
    </row>
    <row r="43" spans="1:17">
      <c r="A43" s="46" t="s">
        <v>100</v>
      </c>
      <c r="B43" s="279" t="s">
        <v>101</v>
      </c>
      <c r="C43" s="389">
        <v>850</v>
      </c>
      <c r="D43" s="379">
        <f>IF(M18&lt;500,0,IF(M18&lt;1000,1,IF(M18&lt;1500,3,4)))</f>
        <v>0</v>
      </c>
      <c r="E43" s="380">
        <f t="shared" si="0"/>
        <v>0</v>
      </c>
      <c r="F43" s="773"/>
      <c r="G43" s="359"/>
      <c r="H43" s="775"/>
      <c r="I43" s="776"/>
      <c r="J43" s="372">
        <f t="shared" si="1"/>
        <v>0</v>
      </c>
      <c r="K43" s="324">
        <f t="shared" si="2"/>
        <v>0</v>
      </c>
      <c r="L43" s="325">
        <f t="shared" si="3"/>
        <v>0</v>
      </c>
      <c r="M43" s="371">
        <f t="shared" si="4"/>
        <v>0</v>
      </c>
      <c r="N43" s="371">
        <f t="shared" si="8"/>
        <v>0</v>
      </c>
      <c r="O43" s="412">
        <f t="shared" si="9"/>
        <v>0</v>
      </c>
      <c r="P43" s="13">
        <f t="shared" si="7"/>
        <v>0</v>
      </c>
    </row>
    <row r="44" spans="1:17">
      <c r="A44" s="46" t="s">
        <v>102</v>
      </c>
      <c r="B44" s="279" t="s">
        <v>103</v>
      </c>
      <c r="C44" s="389">
        <v>1100</v>
      </c>
      <c r="D44" s="379">
        <f>IF(M18=0,0,IF(M18&lt;1001,1,1+ROUNDDOWN((M18-1000)/500,0)))</f>
        <v>0</v>
      </c>
      <c r="E44" s="380">
        <f t="shared" si="0"/>
        <v>0</v>
      </c>
      <c r="F44" s="773"/>
      <c r="G44" s="359"/>
      <c r="H44" s="775"/>
      <c r="I44" s="776"/>
      <c r="J44" s="372">
        <f t="shared" si="1"/>
        <v>0</v>
      </c>
      <c r="K44" s="324">
        <f t="shared" si="2"/>
        <v>0</v>
      </c>
      <c r="L44" s="325">
        <f t="shared" si="3"/>
        <v>0</v>
      </c>
      <c r="M44" s="371">
        <f t="shared" si="4"/>
        <v>0</v>
      </c>
      <c r="N44" s="371">
        <f t="shared" si="8"/>
        <v>0</v>
      </c>
      <c r="O44" s="412">
        <f t="shared" si="9"/>
        <v>0</v>
      </c>
      <c r="P44" s="13">
        <f t="shared" si="7"/>
        <v>0</v>
      </c>
    </row>
    <row r="45" spans="1:17">
      <c r="A45" s="54" t="s">
        <v>104</v>
      </c>
      <c r="B45" s="281" t="s">
        <v>105</v>
      </c>
      <c r="C45" s="389">
        <f>0.1*(SUM(B6:B11))*35</f>
        <v>0</v>
      </c>
      <c r="D45" s="379">
        <f>IF(SUM(B6:B11)=0,0,1)</f>
        <v>0</v>
      </c>
      <c r="E45" s="380">
        <f t="shared" si="0"/>
        <v>0</v>
      </c>
      <c r="F45" s="767"/>
      <c r="G45" s="359"/>
      <c r="H45" s="775"/>
      <c r="I45" s="776"/>
      <c r="J45" s="372">
        <f t="shared" si="1"/>
        <v>0</v>
      </c>
      <c r="K45" s="324">
        <f t="shared" si="2"/>
        <v>0</v>
      </c>
      <c r="L45" s="325">
        <f t="shared" si="3"/>
        <v>0</v>
      </c>
      <c r="M45" s="371">
        <f t="shared" si="4"/>
        <v>0</v>
      </c>
      <c r="N45" s="371">
        <f t="shared" si="8"/>
        <v>0</v>
      </c>
      <c r="O45" s="412">
        <f t="shared" si="9"/>
        <v>0</v>
      </c>
      <c r="P45" s="13">
        <f t="shared" si="7"/>
        <v>0</v>
      </c>
    </row>
    <row r="46" spans="1:17">
      <c r="A46" s="54" t="s">
        <v>106</v>
      </c>
      <c r="B46" s="281" t="s">
        <v>107</v>
      </c>
      <c r="C46" s="389">
        <v>900</v>
      </c>
      <c r="D46" s="379">
        <f>IF(SUM(B6:B11)=0,0,1)</f>
        <v>0</v>
      </c>
      <c r="E46" s="380">
        <f t="shared" si="0"/>
        <v>0</v>
      </c>
      <c r="F46" s="773"/>
      <c r="G46" s="359"/>
      <c r="H46" s="51"/>
      <c r="I46" s="69"/>
      <c r="J46" s="372">
        <f t="shared" si="1"/>
        <v>0</v>
      </c>
      <c r="K46" s="324">
        <f t="shared" si="2"/>
        <v>0</v>
      </c>
      <c r="L46" s="325">
        <f t="shared" si="3"/>
        <v>0</v>
      </c>
      <c r="M46" s="371">
        <f t="shared" si="4"/>
        <v>0</v>
      </c>
      <c r="N46" s="371">
        <f t="shared" si="8"/>
        <v>0</v>
      </c>
      <c r="O46" s="412">
        <f t="shared" si="9"/>
        <v>0</v>
      </c>
      <c r="P46" s="13">
        <f t="shared" si="7"/>
        <v>0</v>
      </c>
    </row>
    <row r="47" spans="1:17">
      <c r="A47" s="54" t="s">
        <v>108</v>
      </c>
      <c r="B47" s="281" t="s">
        <v>105</v>
      </c>
      <c r="C47" s="389">
        <f>0.1*(B12+M17+M18)*40</f>
        <v>0</v>
      </c>
      <c r="D47" s="379">
        <f>IF((B$12+M$17+M$18)=0,0,1)</f>
        <v>0</v>
      </c>
      <c r="E47" s="380">
        <f t="shared" si="0"/>
        <v>0</v>
      </c>
      <c r="F47" s="767"/>
      <c r="G47" s="359"/>
      <c r="H47" s="775"/>
      <c r="I47" s="776"/>
      <c r="J47" s="372">
        <f t="shared" si="1"/>
        <v>0</v>
      </c>
      <c r="K47" s="324">
        <f t="shared" si="2"/>
        <v>0</v>
      </c>
      <c r="L47" s="325">
        <f t="shared" si="3"/>
        <v>0</v>
      </c>
      <c r="M47" s="371">
        <f>K47-E47</f>
        <v>0</v>
      </c>
      <c r="N47" s="371">
        <f>IF(M47&gt;=0,M47,-M47)</f>
        <v>0</v>
      </c>
      <c r="O47" s="412">
        <f t="shared" si="9"/>
        <v>0</v>
      </c>
      <c r="P47" s="13">
        <f t="shared" si="7"/>
        <v>0</v>
      </c>
    </row>
    <row r="48" spans="1:17">
      <c r="A48" s="54" t="s">
        <v>109</v>
      </c>
      <c r="B48" s="281" t="s">
        <v>110</v>
      </c>
      <c r="C48" s="389">
        <v>900</v>
      </c>
      <c r="D48" s="379">
        <f>IF((B$12+M$17)=0,0,IF(M17&gt;0,1,IF((M15+M16)=0,1,0)))</f>
        <v>0</v>
      </c>
      <c r="E48" s="380">
        <f t="shared" si="0"/>
        <v>0</v>
      </c>
      <c r="F48" s="773"/>
      <c r="G48" s="359"/>
      <c r="H48" s="775"/>
      <c r="I48" s="776"/>
      <c r="J48" s="372">
        <f t="shared" si="1"/>
        <v>0</v>
      </c>
      <c r="K48" s="324">
        <f t="shared" si="2"/>
        <v>0</v>
      </c>
      <c r="L48" s="325">
        <f t="shared" si="3"/>
        <v>0</v>
      </c>
      <c r="M48" s="371">
        <f t="shared" si="4"/>
        <v>0</v>
      </c>
      <c r="N48" s="371">
        <f t="shared" si="8"/>
        <v>0</v>
      </c>
      <c r="O48" s="412">
        <f>IF(G48=FALSE,0,IF(N48&gt;=0,(E48-I48),0))</f>
        <v>0</v>
      </c>
      <c r="P48" s="13">
        <f>IF(O48&lt;0,0,O48)</f>
        <v>0</v>
      </c>
    </row>
    <row r="49" spans="1:17">
      <c r="A49" s="54" t="s">
        <v>111</v>
      </c>
      <c r="B49" s="281" t="s">
        <v>112</v>
      </c>
      <c r="C49" s="389">
        <v>1200</v>
      </c>
      <c r="D49" s="379">
        <f>IF(($B$6+$M$16+$M$15)&lt;550,0,1)</f>
        <v>0</v>
      </c>
      <c r="E49" s="380">
        <f t="shared" si="0"/>
        <v>0</v>
      </c>
      <c r="F49" s="773"/>
      <c r="G49" s="359"/>
      <c r="H49" s="775"/>
      <c r="I49" s="776"/>
      <c r="J49" s="372">
        <f t="shared" si="1"/>
        <v>0</v>
      </c>
      <c r="K49" s="324">
        <f t="shared" si="2"/>
        <v>0</v>
      </c>
      <c r="L49" s="325">
        <f t="shared" si="3"/>
        <v>0</v>
      </c>
      <c r="M49" s="371">
        <f t="shared" si="4"/>
        <v>0</v>
      </c>
      <c r="N49" s="371">
        <f t="shared" si="8"/>
        <v>0</v>
      </c>
      <c r="O49" s="412">
        <f t="shared" si="9"/>
        <v>0</v>
      </c>
      <c r="P49" s="13">
        <f t="shared" si="7"/>
        <v>0</v>
      </c>
    </row>
    <row r="50" spans="1:17">
      <c r="A50" s="54" t="s">
        <v>113</v>
      </c>
      <c r="B50" s="281" t="s">
        <v>114</v>
      </c>
      <c r="C50" s="389">
        <v>80</v>
      </c>
      <c r="D50" s="379">
        <f>IF(($B$6+$M$16+$M$15)&lt;550,0,1)</f>
        <v>0</v>
      </c>
      <c r="E50" s="380">
        <f t="shared" si="0"/>
        <v>0</v>
      </c>
      <c r="F50" s="773"/>
      <c r="G50" s="359"/>
      <c r="H50" s="775"/>
      <c r="I50" s="776"/>
      <c r="J50" s="372">
        <f t="shared" si="1"/>
        <v>0</v>
      </c>
      <c r="K50" s="324">
        <f t="shared" si="2"/>
        <v>0</v>
      </c>
      <c r="L50" s="325">
        <f t="shared" si="3"/>
        <v>0</v>
      </c>
      <c r="M50" s="371">
        <f t="shared" si="4"/>
        <v>0</v>
      </c>
      <c r="N50" s="371">
        <f t="shared" si="8"/>
        <v>0</v>
      </c>
      <c r="O50" s="412">
        <f t="shared" si="9"/>
        <v>0</v>
      </c>
      <c r="P50" s="13">
        <f t="shared" si="7"/>
        <v>0</v>
      </c>
    </row>
    <row r="51" spans="1:17">
      <c r="A51" s="54" t="s">
        <v>115</v>
      </c>
      <c r="B51" s="281" t="s">
        <v>116</v>
      </c>
      <c r="C51" s="389">
        <v>1200</v>
      </c>
      <c r="D51" s="379">
        <f>IF((B$6+M$16+M$15)&gt;0,IF((B$6+M$16+M$15)&lt;550,1,0),0)</f>
        <v>0</v>
      </c>
      <c r="E51" s="380">
        <f t="shared" si="0"/>
        <v>0</v>
      </c>
      <c r="F51" s="773"/>
      <c r="G51" s="359"/>
      <c r="H51" s="775"/>
      <c r="I51" s="776"/>
      <c r="J51" s="372">
        <f t="shared" si="1"/>
        <v>0</v>
      </c>
      <c r="K51" s="324">
        <f t="shared" si="2"/>
        <v>0</v>
      </c>
      <c r="L51" s="325">
        <f t="shared" si="3"/>
        <v>0</v>
      </c>
      <c r="M51" s="371">
        <f t="shared" si="4"/>
        <v>0</v>
      </c>
      <c r="N51" s="371">
        <f t="shared" si="8"/>
        <v>0</v>
      </c>
      <c r="O51" s="412">
        <f t="shared" si="9"/>
        <v>0</v>
      </c>
      <c r="P51" s="13">
        <f t="shared" si="7"/>
        <v>0</v>
      </c>
      <c r="Q51" s="320"/>
    </row>
    <row r="52" spans="1:17">
      <c r="A52" s="54" t="s">
        <v>117</v>
      </c>
      <c r="B52" s="281" t="s">
        <v>118</v>
      </c>
      <c r="C52" s="389">
        <v>100</v>
      </c>
      <c r="D52" s="379">
        <f>D51</f>
        <v>0</v>
      </c>
      <c r="E52" s="380">
        <f t="shared" si="0"/>
        <v>0</v>
      </c>
      <c r="F52" s="773"/>
      <c r="G52" s="359"/>
      <c r="H52" s="775"/>
      <c r="I52" s="776"/>
      <c r="J52" s="372">
        <f t="shared" si="1"/>
        <v>0</v>
      </c>
      <c r="K52" s="324">
        <f t="shared" si="2"/>
        <v>0</v>
      </c>
      <c r="L52" s="325">
        <f t="shared" si="3"/>
        <v>0</v>
      </c>
      <c r="M52" s="371">
        <f t="shared" si="4"/>
        <v>0</v>
      </c>
      <c r="N52" s="371">
        <f t="shared" si="8"/>
        <v>0</v>
      </c>
      <c r="O52" s="412">
        <f t="shared" si="9"/>
        <v>0</v>
      </c>
      <c r="P52" s="13">
        <f t="shared" si="7"/>
        <v>0</v>
      </c>
    </row>
    <row r="53" spans="1:17">
      <c r="A53" s="54" t="s">
        <v>119</v>
      </c>
      <c r="B53" s="281" t="s">
        <v>112</v>
      </c>
      <c r="C53" s="389">
        <v>1200</v>
      </c>
      <c r="D53" s="379">
        <f>IF(D54&gt;0,0,IF((M17+B12)=0,0,1))</f>
        <v>0</v>
      </c>
      <c r="E53" s="380">
        <f t="shared" si="0"/>
        <v>0</v>
      </c>
      <c r="F53" s="773"/>
      <c r="G53" s="359"/>
      <c r="H53" s="775"/>
      <c r="I53" s="776"/>
      <c r="J53" s="372">
        <f t="shared" si="1"/>
        <v>0</v>
      </c>
      <c r="K53" s="324">
        <f t="shared" si="2"/>
        <v>0</v>
      </c>
      <c r="L53" s="325">
        <f t="shared" si="3"/>
        <v>0</v>
      </c>
      <c r="M53" s="371">
        <f t="shared" si="4"/>
        <v>0</v>
      </c>
      <c r="N53" s="371">
        <f t="shared" si="8"/>
        <v>0</v>
      </c>
      <c r="O53" s="412">
        <f t="shared" si="9"/>
        <v>0</v>
      </c>
      <c r="P53" s="13">
        <f t="shared" si="7"/>
        <v>0</v>
      </c>
    </row>
    <row r="54" spans="1:17">
      <c r="A54" s="54" t="s">
        <v>120</v>
      </c>
      <c r="B54" s="281" t="s">
        <v>112</v>
      </c>
      <c r="C54" s="389">
        <v>1200</v>
      </c>
      <c r="D54" s="379">
        <f>IF(M18=0,0,IF(B12+M17+M18&lt;1000,1,ROUNDUP(((B12+M17+M18)-499)/500,0)))</f>
        <v>0</v>
      </c>
      <c r="E54" s="380">
        <f t="shared" si="0"/>
        <v>0</v>
      </c>
      <c r="F54" s="773"/>
      <c r="G54" s="359"/>
      <c r="H54" s="775"/>
      <c r="I54" s="776"/>
      <c r="J54" s="372">
        <f t="shared" si="1"/>
        <v>0</v>
      </c>
      <c r="K54" s="324">
        <f t="shared" si="2"/>
        <v>0</v>
      </c>
      <c r="L54" s="325">
        <f t="shared" si="3"/>
        <v>0</v>
      </c>
      <c r="M54" s="371">
        <f t="shared" si="4"/>
        <v>0</v>
      </c>
      <c r="N54" s="371">
        <f t="shared" si="8"/>
        <v>0</v>
      </c>
      <c r="O54" s="412">
        <f t="shared" si="9"/>
        <v>0</v>
      </c>
      <c r="P54" s="13">
        <f t="shared" si="7"/>
        <v>0</v>
      </c>
    </row>
    <row r="55" spans="1:17">
      <c r="A55" s="54" t="s">
        <v>121</v>
      </c>
      <c r="B55" s="281" t="s">
        <v>114</v>
      </c>
      <c r="C55" s="389">
        <v>100</v>
      </c>
      <c r="D55" s="379">
        <f>D53+D54</f>
        <v>0</v>
      </c>
      <c r="E55" s="380">
        <f t="shared" si="0"/>
        <v>0</v>
      </c>
      <c r="F55" s="773"/>
      <c r="G55" s="359"/>
      <c r="H55" s="775"/>
      <c r="I55" s="776"/>
      <c r="J55" s="372">
        <f t="shared" si="1"/>
        <v>0</v>
      </c>
      <c r="K55" s="324">
        <f t="shared" si="2"/>
        <v>0</v>
      </c>
      <c r="L55" s="325">
        <f t="shared" si="3"/>
        <v>0</v>
      </c>
      <c r="M55" s="371">
        <f t="shared" si="4"/>
        <v>0</v>
      </c>
      <c r="N55" s="371">
        <f t="shared" si="8"/>
        <v>0</v>
      </c>
      <c r="O55" s="412">
        <f t="shared" si="9"/>
        <v>0</v>
      </c>
      <c r="P55" s="13">
        <f t="shared" si="7"/>
        <v>0</v>
      </c>
    </row>
    <row r="56" spans="1:17">
      <c r="A56" s="54" t="s">
        <v>122</v>
      </c>
      <c r="B56" s="281" t="s">
        <v>123</v>
      </c>
      <c r="C56" s="389">
        <v>1200</v>
      </c>
      <c r="D56" s="379">
        <f>IF(($B$6+$M$15+$M$16)&lt;550,0,1)</f>
        <v>0</v>
      </c>
      <c r="E56" s="380">
        <f t="shared" si="0"/>
        <v>0</v>
      </c>
      <c r="F56" s="773"/>
      <c r="G56" s="359"/>
      <c r="H56" s="775"/>
      <c r="I56" s="776"/>
      <c r="J56" s="372">
        <f t="shared" si="1"/>
        <v>0</v>
      </c>
      <c r="K56" s="324">
        <f t="shared" si="2"/>
        <v>0</v>
      </c>
      <c r="L56" s="325">
        <f t="shared" si="3"/>
        <v>0</v>
      </c>
      <c r="M56" s="371">
        <f t="shared" si="4"/>
        <v>0</v>
      </c>
      <c r="N56" s="371">
        <f t="shared" si="8"/>
        <v>0</v>
      </c>
      <c r="O56" s="412">
        <f t="shared" si="9"/>
        <v>0</v>
      </c>
      <c r="P56" s="13">
        <f t="shared" si="7"/>
        <v>0</v>
      </c>
    </row>
    <row r="57" spans="1:17">
      <c r="A57" s="54" t="s">
        <v>124</v>
      </c>
      <c r="B57" s="281" t="s">
        <v>125</v>
      </c>
      <c r="C57" s="389">
        <v>100</v>
      </c>
      <c r="D57" s="379">
        <f>IF(D56=1,1,0)</f>
        <v>0</v>
      </c>
      <c r="E57" s="380">
        <f t="shared" si="0"/>
        <v>0</v>
      </c>
      <c r="F57" s="773"/>
      <c r="G57" s="359"/>
      <c r="H57" s="775"/>
      <c r="I57" s="776"/>
      <c r="J57" s="372">
        <f t="shared" si="1"/>
        <v>0</v>
      </c>
      <c r="K57" s="324">
        <f t="shared" si="2"/>
        <v>0</v>
      </c>
      <c r="L57" s="325">
        <f t="shared" si="3"/>
        <v>0</v>
      </c>
      <c r="M57" s="371">
        <f t="shared" si="4"/>
        <v>0</v>
      </c>
      <c r="N57" s="371">
        <f t="shared" si="8"/>
        <v>0</v>
      </c>
      <c r="O57" s="412">
        <f t="shared" si="9"/>
        <v>0</v>
      </c>
      <c r="P57" s="13">
        <f t="shared" si="7"/>
        <v>0</v>
      </c>
    </row>
    <row r="58" spans="1:17">
      <c r="A58" s="54" t="s">
        <v>126</v>
      </c>
      <c r="B58" s="281" t="s">
        <v>125</v>
      </c>
      <c r="C58" s="389">
        <v>100</v>
      </c>
      <c r="D58" s="379">
        <f>IF((B12+M17)&gt;0,1,0)</f>
        <v>0</v>
      </c>
      <c r="E58" s="380">
        <f t="shared" si="0"/>
        <v>0</v>
      </c>
      <c r="F58" s="773"/>
      <c r="G58" s="359"/>
      <c r="H58" s="775"/>
      <c r="I58" s="776"/>
      <c r="J58" s="372">
        <f t="shared" si="1"/>
        <v>0</v>
      </c>
      <c r="K58" s="324">
        <f t="shared" si="2"/>
        <v>0</v>
      </c>
      <c r="L58" s="325">
        <f t="shared" si="3"/>
        <v>0</v>
      </c>
      <c r="M58" s="371">
        <f t="shared" si="4"/>
        <v>0</v>
      </c>
      <c r="N58" s="371">
        <f t="shared" si="8"/>
        <v>0</v>
      </c>
      <c r="O58" s="412">
        <f t="shared" si="9"/>
        <v>0</v>
      </c>
      <c r="P58" s="13">
        <f t="shared" si="7"/>
        <v>0</v>
      </c>
    </row>
    <row r="59" spans="1:17">
      <c r="A59" s="54" t="s">
        <v>127</v>
      </c>
      <c r="B59" s="281" t="s">
        <v>128</v>
      </c>
      <c r="C59" s="389">
        <v>1400</v>
      </c>
      <c r="D59" s="379">
        <f>IF((B12+M17+M18)=0,0,IF((B12+M17+M18)&gt;1000,2,1))</f>
        <v>0</v>
      </c>
      <c r="E59" s="380">
        <f t="shared" si="0"/>
        <v>0</v>
      </c>
      <c r="F59" s="773"/>
      <c r="G59" s="359"/>
      <c r="H59" s="775"/>
      <c r="I59" s="776"/>
      <c r="J59" s="372">
        <f t="shared" si="1"/>
        <v>0</v>
      </c>
      <c r="K59" s="324">
        <f t="shared" si="2"/>
        <v>0</v>
      </c>
      <c r="L59" s="325">
        <f t="shared" si="3"/>
        <v>0</v>
      </c>
      <c r="M59" s="371">
        <f t="shared" si="4"/>
        <v>0</v>
      </c>
      <c r="N59" s="371">
        <f t="shared" si="8"/>
        <v>0</v>
      </c>
      <c r="O59" s="412">
        <f t="shared" si="9"/>
        <v>0</v>
      </c>
      <c r="P59" s="13">
        <f>IF(O59&lt;0,0,O59)</f>
        <v>0</v>
      </c>
    </row>
    <row r="60" spans="1:17">
      <c r="A60" s="54" t="s">
        <v>129</v>
      </c>
      <c r="B60" s="281" t="s">
        <v>130</v>
      </c>
      <c r="C60" s="389">
        <f>MAX(200,0.5*M18)</f>
        <v>200</v>
      </c>
      <c r="D60" s="379">
        <f>IF(M18&gt;0,1,0)</f>
        <v>0</v>
      </c>
      <c r="E60" s="380">
        <f t="shared" si="0"/>
        <v>0</v>
      </c>
      <c r="F60" s="773"/>
      <c r="G60" s="359"/>
      <c r="H60" s="775"/>
      <c r="I60" s="776"/>
      <c r="J60" s="372">
        <f t="shared" si="1"/>
        <v>0</v>
      </c>
      <c r="K60" s="324">
        <f t="shared" si="2"/>
        <v>0</v>
      </c>
      <c r="L60" s="325">
        <f t="shared" si="3"/>
        <v>0</v>
      </c>
      <c r="M60" s="371">
        <f t="shared" si="4"/>
        <v>0</v>
      </c>
      <c r="N60" s="371">
        <f t="shared" si="8"/>
        <v>0</v>
      </c>
      <c r="O60" s="412">
        <f t="shared" si="9"/>
        <v>0</v>
      </c>
      <c r="P60" s="13">
        <f>IF(O60&lt;0,0,O60)</f>
        <v>0</v>
      </c>
    </row>
    <row r="61" spans="1:17">
      <c r="A61" s="54" t="s">
        <v>131</v>
      </c>
      <c r="B61" s="281" t="s">
        <v>132</v>
      </c>
      <c r="C61" s="389">
        <v>1200</v>
      </c>
      <c r="D61" s="379">
        <f>IF(D62&gt;0,0,IF((B12+M17)&lt;699,0,1))</f>
        <v>0</v>
      </c>
      <c r="E61" s="380">
        <f t="shared" si="0"/>
        <v>0</v>
      </c>
      <c r="F61" s="773"/>
      <c r="G61" s="359"/>
      <c r="H61" s="775"/>
      <c r="I61" s="776"/>
      <c r="J61" s="372">
        <f t="shared" si="1"/>
        <v>0</v>
      </c>
      <c r="K61" s="324">
        <f t="shared" si="2"/>
        <v>0</v>
      </c>
      <c r="L61" s="325">
        <f t="shared" si="3"/>
        <v>0</v>
      </c>
      <c r="M61" s="371">
        <f t="shared" si="4"/>
        <v>0</v>
      </c>
      <c r="N61" s="371">
        <f t="shared" si="8"/>
        <v>0</v>
      </c>
      <c r="O61" s="412">
        <f t="shared" si="9"/>
        <v>0</v>
      </c>
      <c r="P61" s="13">
        <f t="shared" si="7"/>
        <v>0</v>
      </c>
    </row>
    <row r="62" spans="1:17">
      <c r="A62" s="54" t="s">
        <v>133</v>
      </c>
      <c r="B62" s="281" t="s">
        <v>132</v>
      </c>
      <c r="C62" s="389">
        <v>1200</v>
      </c>
      <c r="D62" s="379">
        <f>IF(M18&lt;499,0,IF((B12+M17+M18)&lt;1999,1,2))</f>
        <v>0</v>
      </c>
      <c r="E62" s="380">
        <f t="shared" si="0"/>
        <v>0</v>
      </c>
      <c r="F62" s="773"/>
      <c r="G62" s="359"/>
      <c r="H62" s="775"/>
      <c r="I62" s="776"/>
      <c r="J62" s="372">
        <f t="shared" si="1"/>
        <v>0</v>
      </c>
      <c r="K62" s="324">
        <f t="shared" si="2"/>
        <v>0</v>
      </c>
      <c r="L62" s="325">
        <f t="shared" si="3"/>
        <v>0</v>
      </c>
      <c r="M62" s="371">
        <f>K62-E62</f>
        <v>0</v>
      </c>
      <c r="N62" s="371">
        <f t="shared" si="8"/>
        <v>0</v>
      </c>
      <c r="O62" s="412">
        <f t="shared" si="9"/>
        <v>0</v>
      </c>
      <c r="P62" s="13">
        <f t="shared" si="7"/>
        <v>0</v>
      </c>
    </row>
    <row r="63" spans="1:17">
      <c r="A63" s="54" t="s">
        <v>134</v>
      </c>
      <c r="B63" s="281" t="s">
        <v>135</v>
      </c>
      <c r="C63" s="389">
        <v>150</v>
      </c>
      <c r="D63" s="379">
        <f>IF(M18=0,0,D62)</f>
        <v>0</v>
      </c>
      <c r="E63" s="380">
        <f t="shared" si="0"/>
        <v>0</v>
      </c>
      <c r="F63" s="773"/>
      <c r="G63" s="359"/>
      <c r="H63" s="775"/>
      <c r="I63" s="776"/>
      <c r="J63" s="372">
        <f t="shared" si="1"/>
        <v>0</v>
      </c>
      <c r="K63" s="324">
        <f t="shared" si="2"/>
        <v>0</v>
      </c>
      <c r="L63" s="325">
        <f t="shared" si="3"/>
        <v>0</v>
      </c>
      <c r="M63" s="371">
        <f t="shared" si="4"/>
        <v>0</v>
      </c>
      <c r="N63" s="371">
        <f t="shared" si="8"/>
        <v>0</v>
      </c>
      <c r="O63" s="412">
        <f t="shared" si="9"/>
        <v>0</v>
      </c>
      <c r="P63" s="13">
        <f t="shared" si="7"/>
        <v>0</v>
      </c>
    </row>
    <row r="64" spans="1:17">
      <c r="A64" s="54" t="s">
        <v>136</v>
      </c>
      <c r="B64" s="281" t="s">
        <v>137</v>
      </c>
      <c r="C64" s="389">
        <f>IF(M17=0,(MIN(MAX(10*(B6+M15+M16+B12),2500),10000)),(MIN(MAX(10*(B6+M15+M16),2500),10000)))</f>
        <v>2500</v>
      </c>
      <c r="D64" s="379">
        <f>IF((B6+M15+M16)=0,0,1)</f>
        <v>0</v>
      </c>
      <c r="E64" s="380">
        <f t="shared" si="0"/>
        <v>0</v>
      </c>
      <c r="F64" s="773"/>
      <c r="G64" s="359"/>
      <c r="H64" s="51"/>
      <c r="I64" s="69"/>
      <c r="J64" s="372">
        <f t="shared" si="1"/>
        <v>0</v>
      </c>
      <c r="K64" s="324">
        <f t="shared" si="2"/>
        <v>0</v>
      </c>
      <c r="L64" s="325">
        <f t="shared" si="3"/>
        <v>0</v>
      </c>
      <c r="M64" s="371">
        <f t="shared" si="4"/>
        <v>0</v>
      </c>
      <c r="N64" s="371">
        <f t="shared" si="8"/>
        <v>0</v>
      </c>
      <c r="O64" s="412">
        <f t="shared" si="9"/>
        <v>0</v>
      </c>
      <c r="P64" s="13">
        <f t="shared" si="7"/>
        <v>0</v>
      </c>
    </row>
    <row r="65" spans="1:16">
      <c r="A65" s="54" t="s">
        <v>138</v>
      </c>
      <c r="B65" s="281" t="s">
        <v>137</v>
      </c>
      <c r="C65" s="389">
        <f>MIN(MAX(15*(B12+M17),4000),10000)</f>
        <v>4000</v>
      </c>
      <c r="D65" s="379">
        <f>IF(B12+M17=0,0,IF(AND(B12&gt;0,(B6+M15+M16+M17)=0),1,IF(M17=0,0,IF(M18&gt;0,0,1))))</f>
        <v>0</v>
      </c>
      <c r="E65" s="380">
        <f t="shared" si="0"/>
        <v>0</v>
      </c>
      <c r="F65" s="773"/>
      <c r="G65" s="359"/>
      <c r="H65" s="775"/>
      <c r="I65" s="776"/>
      <c r="J65" s="372">
        <f t="shared" si="1"/>
        <v>0</v>
      </c>
      <c r="K65" s="324">
        <f t="shared" si="2"/>
        <v>0</v>
      </c>
      <c r="L65" s="325">
        <f t="shared" si="3"/>
        <v>0</v>
      </c>
      <c r="M65" s="371">
        <f t="shared" si="4"/>
        <v>0</v>
      </c>
      <c r="N65" s="371">
        <f t="shared" si="8"/>
        <v>0</v>
      </c>
      <c r="O65" s="412">
        <f t="shared" si="9"/>
        <v>0</v>
      </c>
      <c r="P65" s="13">
        <f t="shared" si="7"/>
        <v>0</v>
      </c>
    </row>
    <row r="66" spans="1:16">
      <c r="A66" s="54" t="s">
        <v>139</v>
      </c>
      <c r="B66" s="281" t="s">
        <v>137</v>
      </c>
      <c r="C66" s="389">
        <f>MIN(MAX(15*(B12+M17+M18),6000),30000)</f>
        <v>6000</v>
      </c>
      <c r="D66" s="379">
        <f>IF(M18&gt;0,1,0)</f>
        <v>0</v>
      </c>
      <c r="E66" s="380">
        <f t="shared" si="0"/>
        <v>0</v>
      </c>
      <c r="F66" s="773"/>
      <c r="G66" s="359"/>
      <c r="H66" s="775"/>
      <c r="I66" s="776"/>
      <c r="J66" s="372">
        <f t="shared" si="1"/>
        <v>0</v>
      </c>
      <c r="K66" s="324">
        <f t="shared" si="2"/>
        <v>0</v>
      </c>
      <c r="L66" s="325">
        <f t="shared" si="3"/>
        <v>0</v>
      </c>
      <c r="M66" s="371">
        <f t="shared" si="4"/>
        <v>0</v>
      </c>
      <c r="N66" s="371">
        <f t="shared" si="8"/>
        <v>0</v>
      </c>
      <c r="O66" s="412">
        <f t="shared" si="9"/>
        <v>0</v>
      </c>
      <c r="P66" s="13">
        <f t="shared" si="7"/>
        <v>0</v>
      </c>
    </row>
    <row r="67" spans="1:16">
      <c r="A67" s="54" t="s">
        <v>140</v>
      </c>
      <c r="B67" s="281" t="s">
        <v>141</v>
      </c>
      <c r="C67" s="389">
        <f>MAX(400,MIN(0.7*(M18),850))</f>
        <v>400</v>
      </c>
      <c r="D67" s="379">
        <f>IF((M18)=0,0,IF((M18)&lt;1000,2,IF((M18)&lt;2000,4,6)))</f>
        <v>0</v>
      </c>
      <c r="E67" s="380">
        <f t="shared" si="0"/>
        <v>0</v>
      </c>
      <c r="F67" s="773"/>
      <c r="G67" s="359"/>
      <c r="H67" s="775"/>
      <c r="I67" s="776"/>
      <c r="J67" s="372">
        <f t="shared" si="1"/>
        <v>0</v>
      </c>
      <c r="K67" s="324">
        <f t="shared" si="2"/>
        <v>0</v>
      </c>
      <c r="L67" s="325">
        <f t="shared" si="3"/>
        <v>0</v>
      </c>
      <c r="M67" s="371">
        <f t="shared" si="4"/>
        <v>0</v>
      </c>
      <c r="N67" s="371">
        <f t="shared" si="8"/>
        <v>0</v>
      </c>
      <c r="O67" s="412">
        <f t="shared" si="9"/>
        <v>0</v>
      </c>
      <c r="P67" s="13">
        <f t="shared" si="7"/>
        <v>0</v>
      </c>
    </row>
    <row r="68" spans="1:16">
      <c r="A68" s="54" t="s">
        <v>142</v>
      </c>
      <c r="B68" s="281" t="s">
        <v>143</v>
      </c>
      <c r="C68" s="389">
        <f>MAX(150,MIN(0.3*(M18),350))</f>
        <v>150</v>
      </c>
      <c r="D68" s="379">
        <f>D67</f>
        <v>0</v>
      </c>
      <c r="E68" s="380">
        <f t="shared" si="0"/>
        <v>0</v>
      </c>
      <c r="F68" s="773"/>
      <c r="G68" s="359"/>
      <c r="H68" s="775"/>
      <c r="I68" s="776"/>
      <c r="J68" s="372">
        <f t="shared" si="1"/>
        <v>0</v>
      </c>
      <c r="K68" s="324">
        <f t="shared" si="2"/>
        <v>0</v>
      </c>
      <c r="L68" s="325">
        <f t="shared" si="3"/>
        <v>0</v>
      </c>
      <c r="M68" s="371">
        <f t="shared" si="4"/>
        <v>0</v>
      </c>
      <c r="N68" s="371">
        <f t="shared" si="8"/>
        <v>0</v>
      </c>
      <c r="O68" s="412">
        <f t="shared" si="9"/>
        <v>0</v>
      </c>
      <c r="P68" s="13">
        <f t="shared" si="7"/>
        <v>0</v>
      </c>
    </row>
    <row r="69" spans="1:16" ht="27" thickBot="1">
      <c r="A69" s="486" t="s">
        <v>605</v>
      </c>
      <c r="B69" s="487" t="s">
        <v>947</v>
      </c>
      <c r="C69" s="488" t="s">
        <v>144</v>
      </c>
      <c r="D69" s="489" t="s">
        <v>948</v>
      </c>
      <c r="E69" s="490">
        <f>IF('Career Education'!J190&lt;=(D12*10),'Career Education'!J190,(D12*10))</f>
        <v>0</v>
      </c>
      <c r="F69" s="416">
        <f>'Career Education'!E190</f>
        <v>0</v>
      </c>
      <c r="G69" s="416">
        <f>'Career Education'!F190</f>
        <v>0</v>
      </c>
      <c r="H69" s="416">
        <f>'Career Education'!G190</f>
        <v>0</v>
      </c>
      <c r="I69" s="416">
        <f>'Career Education'!H190</f>
        <v>0</v>
      </c>
      <c r="J69" s="373">
        <f>'Career Education'!I190</f>
        <v>0</v>
      </c>
      <c r="K69" s="324">
        <f t="shared" si="2"/>
        <v>0</v>
      </c>
      <c r="L69" s="434"/>
      <c r="M69" s="435">
        <f>K69-E69</f>
        <v>0</v>
      </c>
      <c r="N69" s="435">
        <f>IF(M69&gt;0,M69,-M69)</f>
        <v>0</v>
      </c>
      <c r="O69" s="436">
        <f>IF(G69=FALSE,0,IF(N69&gt;=0,(E69-I69),0))</f>
        <v>0</v>
      </c>
      <c r="P69" s="437">
        <f>IF(O69&lt;0,0,O69)</f>
        <v>0</v>
      </c>
    </row>
    <row r="70" spans="1:16" ht="13.8" thickTop="1">
      <c r="A70" s="46" t="s">
        <v>605</v>
      </c>
      <c r="B70" s="280" t="s">
        <v>606</v>
      </c>
      <c r="C70" s="390" t="s">
        <v>144</v>
      </c>
      <c r="D70" s="379">
        <f>IF($M$18=0,0,"3 units" )</f>
        <v>0</v>
      </c>
      <c r="E70" s="381" t="s">
        <v>144</v>
      </c>
      <c r="F70" s="275"/>
      <c r="G70" s="276"/>
      <c r="H70" s="277"/>
      <c r="I70" s="278"/>
      <c r="J70" s="59"/>
      <c r="K70" s="48"/>
      <c r="L70" s="438"/>
      <c r="M70" s="439"/>
      <c r="N70" s="439"/>
      <c r="O70" s="436"/>
      <c r="P70" s="437"/>
    </row>
    <row r="71" spans="1:16">
      <c r="A71" s="46" t="s">
        <v>605</v>
      </c>
      <c r="B71" s="280" t="s">
        <v>607</v>
      </c>
      <c r="C71" s="390" t="s">
        <v>144</v>
      </c>
      <c r="D71" s="379">
        <f>IF($M$18=0,0,"3 units" )</f>
        <v>0</v>
      </c>
      <c r="E71" s="381" t="s">
        <v>144</v>
      </c>
      <c r="F71" s="212"/>
      <c r="G71" s="213"/>
      <c r="H71" s="214"/>
      <c r="I71" s="215"/>
      <c r="J71" s="59"/>
      <c r="K71" s="48"/>
      <c r="L71" s="438"/>
      <c r="M71" s="439"/>
      <c r="N71" s="439"/>
      <c r="O71" s="436"/>
      <c r="P71" s="437"/>
    </row>
    <row r="72" spans="1:16" ht="13.8" thickTop="1">
      <c r="A72" s="54"/>
      <c r="B72" s="282" t="s">
        <v>17</v>
      </c>
      <c r="C72" s="391"/>
      <c r="D72" s="379"/>
      <c r="E72" s="382"/>
      <c r="F72" s="232"/>
      <c r="G72" s="233"/>
      <c r="H72" s="234"/>
      <c r="I72" s="170"/>
      <c r="J72" s="53"/>
      <c r="K72" s="48"/>
      <c r="L72" s="52"/>
      <c r="M72" s="259"/>
      <c r="N72" s="259"/>
      <c r="O72" s="322"/>
      <c r="P72" s="13"/>
    </row>
    <row r="73" spans="1:16">
      <c r="A73" s="54" t="s">
        <v>145</v>
      </c>
      <c r="B73" s="281" t="s">
        <v>146</v>
      </c>
      <c r="C73" s="389">
        <v>850</v>
      </c>
      <c r="D73" s="379">
        <f t="shared" ref="D73:D78" si="10">IF($D$12&lt;1000,1,2)</f>
        <v>1</v>
      </c>
      <c r="E73" s="324">
        <f t="shared" ref="E73:E79" si="11">C73*D73</f>
        <v>850</v>
      </c>
      <c r="F73" s="49"/>
      <c r="G73" s="174"/>
      <c r="H73" s="51"/>
      <c r="I73" s="69"/>
      <c r="J73" s="323">
        <f t="shared" ref="J73:K79" si="12">F73+H73</f>
        <v>0</v>
      </c>
      <c r="K73" s="324">
        <f t="shared" si="12"/>
        <v>0</v>
      </c>
      <c r="L73" s="325">
        <f t="shared" ref="L73:M79" si="13">J73-D73</f>
        <v>-1</v>
      </c>
      <c r="M73" s="326">
        <f t="shared" si="13"/>
        <v>-850</v>
      </c>
      <c r="N73" s="371">
        <f t="shared" ref="N73:N79" si="14">IF(M73&gt;0,M73,-M73)</f>
        <v>850</v>
      </c>
      <c r="O73" s="412">
        <f t="shared" ref="O73:O79" si="15">IF(G73=FALSE,0,IF(N73&gt;=0,(E73-I73),0))</f>
        <v>0</v>
      </c>
      <c r="P73" s="13">
        <f t="shared" si="7"/>
        <v>0</v>
      </c>
    </row>
    <row r="74" spans="1:16">
      <c r="A74" s="54" t="s">
        <v>147</v>
      </c>
      <c r="B74" s="281" t="s">
        <v>148</v>
      </c>
      <c r="C74" s="389">
        <v>150</v>
      </c>
      <c r="D74" s="379">
        <f t="shared" si="10"/>
        <v>1</v>
      </c>
      <c r="E74" s="324">
        <f t="shared" si="11"/>
        <v>150</v>
      </c>
      <c r="F74" s="49"/>
      <c r="G74" s="174"/>
      <c r="H74" s="51"/>
      <c r="I74" s="69"/>
      <c r="J74" s="323">
        <f t="shared" si="12"/>
        <v>0</v>
      </c>
      <c r="K74" s="324">
        <f t="shared" si="12"/>
        <v>0</v>
      </c>
      <c r="L74" s="325">
        <f t="shared" si="13"/>
        <v>-1</v>
      </c>
      <c r="M74" s="326">
        <f t="shared" si="13"/>
        <v>-150</v>
      </c>
      <c r="N74" s="371">
        <f t="shared" si="14"/>
        <v>150</v>
      </c>
      <c r="O74" s="412">
        <f t="shared" si="15"/>
        <v>0</v>
      </c>
      <c r="P74" s="13">
        <f t="shared" si="7"/>
        <v>0</v>
      </c>
    </row>
    <row r="75" spans="1:16">
      <c r="A75" s="54" t="s">
        <v>149</v>
      </c>
      <c r="B75" s="281" t="s">
        <v>150</v>
      </c>
      <c r="C75" s="389">
        <v>100</v>
      </c>
      <c r="D75" s="379">
        <f t="shared" si="10"/>
        <v>1</v>
      </c>
      <c r="E75" s="324">
        <f t="shared" si="11"/>
        <v>100</v>
      </c>
      <c r="F75" s="49"/>
      <c r="G75" s="174"/>
      <c r="H75" s="51"/>
      <c r="I75" s="69"/>
      <c r="J75" s="323">
        <f t="shared" si="12"/>
        <v>0</v>
      </c>
      <c r="K75" s="324">
        <f t="shared" si="12"/>
        <v>0</v>
      </c>
      <c r="L75" s="325">
        <f t="shared" si="13"/>
        <v>-1</v>
      </c>
      <c r="M75" s="326">
        <f t="shared" si="13"/>
        <v>-100</v>
      </c>
      <c r="N75" s="371">
        <f t="shared" si="14"/>
        <v>100</v>
      </c>
      <c r="O75" s="412">
        <f t="shared" si="15"/>
        <v>0</v>
      </c>
      <c r="P75" s="13">
        <f t="shared" si="7"/>
        <v>0</v>
      </c>
    </row>
    <row r="76" spans="1:16">
      <c r="A76" s="54" t="s">
        <v>151</v>
      </c>
      <c r="B76" s="281" t="s">
        <v>152</v>
      </c>
      <c r="C76" s="389">
        <v>450</v>
      </c>
      <c r="D76" s="379">
        <f t="shared" si="10"/>
        <v>1</v>
      </c>
      <c r="E76" s="324">
        <f t="shared" si="11"/>
        <v>450</v>
      </c>
      <c r="F76" s="49"/>
      <c r="G76" s="174"/>
      <c r="H76" s="51"/>
      <c r="I76" s="69"/>
      <c r="J76" s="323">
        <f t="shared" si="12"/>
        <v>0</v>
      </c>
      <c r="K76" s="324">
        <f t="shared" si="12"/>
        <v>0</v>
      </c>
      <c r="L76" s="325">
        <f t="shared" si="13"/>
        <v>-1</v>
      </c>
      <c r="M76" s="326">
        <f t="shared" si="13"/>
        <v>-450</v>
      </c>
      <c r="N76" s="371">
        <f t="shared" si="14"/>
        <v>450</v>
      </c>
      <c r="O76" s="412">
        <f>IF(G76=FALSE,0,IF(N76&gt;=0,(E76-I76),0))</f>
        <v>0</v>
      </c>
      <c r="P76" s="13">
        <f t="shared" si="7"/>
        <v>0</v>
      </c>
    </row>
    <row r="77" spans="1:16">
      <c r="A77" s="54" t="s">
        <v>153</v>
      </c>
      <c r="B77" s="279" t="s">
        <v>154</v>
      </c>
      <c r="C77" s="389">
        <v>475</v>
      </c>
      <c r="D77" s="379">
        <f t="shared" si="10"/>
        <v>1</v>
      </c>
      <c r="E77" s="324">
        <f t="shared" si="11"/>
        <v>475</v>
      </c>
      <c r="F77" s="49"/>
      <c r="G77" s="174"/>
      <c r="H77" s="51"/>
      <c r="I77" s="69"/>
      <c r="J77" s="323">
        <f t="shared" si="12"/>
        <v>0</v>
      </c>
      <c r="K77" s="324">
        <f t="shared" si="12"/>
        <v>0</v>
      </c>
      <c r="L77" s="325">
        <f t="shared" si="13"/>
        <v>-1</v>
      </c>
      <c r="M77" s="326">
        <f t="shared" si="13"/>
        <v>-475</v>
      </c>
      <c r="N77" s="371">
        <f t="shared" si="14"/>
        <v>475</v>
      </c>
      <c r="O77" s="412">
        <f t="shared" si="15"/>
        <v>0</v>
      </c>
      <c r="P77" s="13">
        <f t="shared" si="7"/>
        <v>0</v>
      </c>
    </row>
    <row r="78" spans="1:16">
      <c r="A78" s="54" t="s">
        <v>155</v>
      </c>
      <c r="B78" s="279" t="s">
        <v>156</v>
      </c>
      <c r="C78" s="389">
        <v>350</v>
      </c>
      <c r="D78" s="379">
        <f t="shared" si="10"/>
        <v>1</v>
      </c>
      <c r="E78" s="324">
        <f t="shared" si="11"/>
        <v>350</v>
      </c>
      <c r="F78" s="49"/>
      <c r="G78" s="174"/>
      <c r="H78" s="51"/>
      <c r="I78" s="69"/>
      <c r="J78" s="323">
        <f t="shared" si="12"/>
        <v>0</v>
      </c>
      <c r="K78" s="324">
        <f t="shared" si="12"/>
        <v>0</v>
      </c>
      <c r="L78" s="325">
        <f t="shared" si="13"/>
        <v>-1</v>
      </c>
      <c r="M78" s="326">
        <f t="shared" si="13"/>
        <v>-350</v>
      </c>
      <c r="N78" s="371">
        <f t="shared" si="14"/>
        <v>350</v>
      </c>
      <c r="O78" s="412">
        <f t="shared" si="15"/>
        <v>0</v>
      </c>
      <c r="P78" s="13">
        <f t="shared" si="7"/>
        <v>0</v>
      </c>
    </row>
    <row r="79" spans="1:16">
      <c r="A79" s="54" t="s">
        <v>591</v>
      </c>
      <c r="B79" s="279" t="s">
        <v>592</v>
      </c>
      <c r="C79" s="389">
        <v>850</v>
      </c>
      <c r="D79" s="379">
        <f>IF(SUM(B6:B11)=0,0,1)</f>
        <v>0</v>
      </c>
      <c r="E79" s="324">
        <f t="shared" si="11"/>
        <v>0</v>
      </c>
      <c r="F79" s="765"/>
      <c r="G79" s="174"/>
      <c r="H79" s="51"/>
      <c r="I79" s="69"/>
      <c r="J79" s="323">
        <f t="shared" si="12"/>
        <v>0</v>
      </c>
      <c r="K79" s="324">
        <f t="shared" si="12"/>
        <v>0</v>
      </c>
      <c r="L79" s="325">
        <f t="shared" si="13"/>
        <v>0</v>
      </c>
      <c r="M79" s="326">
        <f t="shared" si="13"/>
        <v>0</v>
      </c>
      <c r="N79" s="371">
        <f t="shared" si="14"/>
        <v>0</v>
      </c>
      <c r="O79" s="412">
        <f t="shared" si="15"/>
        <v>0</v>
      </c>
      <c r="P79" s="13">
        <f t="shared" si="7"/>
        <v>0</v>
      </c>
    </row>
    <row r="80" spans="1:16">
      <c r="A80" s="54"/>
      <c r="B80" s="282" t="s">
        <v>19</v>
      </c>
      <c r="C80" s="391"/>
      <c r="D80" s="379"/>
      <c r="E80" s="382"/>
      <c r="F80" s="360"/>
      <c r="G80" s="361"/>
      <c r="H80" s="362"/>
      <c r="I80" s="363"/>
      <c r="J80" s="53"/>
      <c r="K80" s="48"/>
      <c r="L80" s="261"/>
      <c r="M80" s="259"/>
      <c r="N80" s="259"/>
      <c r="O80" s="322"/>
      <c r="P80" s="13"/>
    </row>
    <row r="81" spans="1:16">
      <c r="A81" s="54" t="s">
        <v>157</v>
      </c>
      <c r="B81" s="279" t="s">
        <v>158</v>
      </c>
      <c r="C81" s="392">
        <v>150</v>
      </c>
      <c r="D81" s="379">
        <v>1</v>
      </c>
      <c r="E81" s="324">
        <f>C81*D81</f>
        <v>150</v>
      </c>
      <c r="F81" s="765"/>
      <c r="G81" s="50"/>
      <c r="H81" s="51"/>
      <c r="I81" s="69"/>
      <c r="J81" s="323">
        <f t="shared" ref="J81:K84" si="16">F81+H81</f>
        <v>0</v>
      </c>
      <c r="K81" s="324">
        <f t="shared" si="16"/>
        <v>0</v>
      </c>
      <c r="L81" s="325">
        <f t="shared" ref="L81:M84" si="17">J81-D81</f>
        <v>-1</v>
      </c>
      <c r="M81" s="326">
        <f t="shared" si="17"/>
        <v>-150</v>
      </c>
      <c r="N81" s="371">
        <f>IF(M81&gt;0,M81,-M81)</f>
        <v>150</v>
      </c>
      <c r="O81" s="412">
        <f>IF(G81=FALSE,0,IF(N81&gt;=0,(E81-I81),0))</f>
        <v>0</v>
      </c>
      <c r="P81" s="13">
        <f t="shared" si="7"/>
        <v>0</v>
      </c>
    </row>
    <row r="82" spans="1:16">
      <c r="A82" s="54" t="s">
        <v>159</v>
      </c>
      <c r="B82" s="279" t="s">
        <v>160</v>
      </c>
      <c r="C82" s="392">
        <v>120</v>
      </c>
      <c r="D82" s="379">
        <f>IF(D12&lt;500,0,1)</f>
        <v>0</v>
      </c>
      <c r="E82" s="324">
        <f>C82*D82</f>
        <v>0</v>
      </c>
      <c r="F82" s="765"/>
      <c r="G82" s="50"/>
      <c r="H82" s="51"/>
      <c r="I82" s="69"/>
      <c r="J82" s="323">
        <f t="shared" si="16"/>
        <v>0</v>
      </c>
      <c r="K82" s="324">
        <f t="shared" si="16"/>
        <v>0</v>
      </c>
      <c r="L82" s="325">
        <f t="shared" si="17"/>
        <v>0</v>
      </c>
      <c r="M82" s="326">
        <f t="shared" si="17"/>
        <v>0</v>
      </c>
      <c r="N82" s="371">
        <f>IF(M82&gt;0,M82,-M82)</f>
        <v>0</v>
      </c>
      <c r="O82" s="412">
        <f>IF(G82=FALSE,0,IF(N82&gt;=0,(E82-I82),0))</f>
        <v>0</v>
      </c>
      <c r="P82" s="13">
        <f t="shared" si="7"/>
        <v>0</v>
      </c>
    </row>
    <row r="83" spans="1:16">
      <c r="A83" s="54" t="s">
        <v>161</v>
      </c>
      <c r="B83" s="279" t="s">
        <v>162</v>
      </c>
      <c r="C83" s="392">
        <v>120</v>
      </c>
      <c r="D83" s="379">
        <f>MAX(1,1+ROUNDUP((D12-450)/450,0))</f>
        <v>1</v>
      </c>
      <c r="E83" s="324">
        <f>C83*D83</f>
        <v>120</v>
      </c>
      <c r="F83" s="765"/>
      <c r="G83" s="50"/>
      <c r="H83" s="51"/>
      <c r="I83" s="69"/>
      <c r="J83" s="323">
        <f t="shared" si="16"/>
        <v>0</v>
      </c>
      <c r="K83" s="324">
        <f t="shared" si="16"/>
        <v>0</v>
      </c>
      <c r="L83" s="325">
        <f t="shared" si="17"/>
        <v>-1</v>
      </c>
      <c r="M83" s="326">
        <f t="shared" si="17"/>
        <v>-120</v>
      </c>
      <c r="N83" s="371">
        <f>IF(M83&gt;0,M83,-M83)</f>
        <v>120</v>
      </c>
      <c r="O83" s="412">
        <f>IF(G83=FALSE,0,IF(N83&gt;=0,(E83-I83),0))</f>
        <v>0</v>
      </c>
      <c r="P83" s="13">
        <f t="shared" si="7"/>
        <v>0</v>
      </c>
    </row>
    <row r="84" spans="1:16">
      <c r="A84" s="54" t="s">
        <v>163</v>
      </c>
      <c r="B84" s="279" t="s">
        <v>164</v>
      </c>
      <c r="C84" s="392">
        <v>360</v>
      </c>
      <c r="D84" s="379">
        <v>1</v>
      </c>
      <c r="E84" s="324">
        <f>C84*D84</f>
        <v>360</v>
      </c>
      <c r="F84" s="765"/>
      <c r="G84" s="50"/>
      <c r="H84" s="51"/>
      <c r="I84" s="69"/>
      <c r="J84" s="323">
        <f t="shared" si="16"/>
        <v>0</v>
      </c>
      <c r="K84" s="324">
        <f t="shared" si="16"/>
        <v>0</v>
      </c>
      <c r="L84" s="325">
        <f t="shared" si="17"/>
        <v>-1</v>
      </c>
      <c r="M84" s="326">
        <f t="shared" si="17"/>
        <v>-360</v>
      </c>
      <c r="N84" s="371">
        <f>IF(M84&gt;0,M84,-M84)</f>
        <v>360</v>
      </c>
      <c r="O84" s="412">
        <f>IF(G84=FALSE,0,IF(N84&gt;=0,(E84-I84),0))</f>
        <v>0</v>
      </c>
      <c r="P84" s="13">
        <f t="shared" si="7"/>
        <v>0</v>
      </c>
    </row>
    <row r="85" spans="1:16">
      <c r="A85" s="46" t="s">
        <v>598</v>
      </c>
      <c r="B85" s="279" t="s">
        <v>599</v>
      </c>
      <c r="C85" s="392">
        <v>45</v>
      </c>
      <c r="D85" s="379">
        <v>1</v>
      </c>
      <c r="E85" s="324">
        <v>45</v>
      </c>
      <c r="F85" s="765"/>
      <c r="G85" s="50"/>
      <c r="H85" s="51"/>
      <c r="I85" s="69"/>
      <c r="J85" s="323">
        <f>F85+H85</f>
        <v>0</v>
      </c>
      <c r="K85" s="324">
        <f>G85+I85</f>
        <v>0</v>
      </c>
      <c r="L85" s="325">
        <f>J85-D85</f>
        <v>-1</v>
      </c>
      <c r="M85" s="326">
        <f>K85-E85</f>
        <v>-45</v>
      </c>
      <c r="N85" s="371">
        <f>IF(M85&gt;0,M85,-M85)</f>
        <v>45</v>
      </c>
      <c r="O85" s="412">
        <f>IF(G85=FALSE,0,IF(N85&gt;=0,(E85-I85),0))</f>
        <v>0</v>
      </c>
      <c r="P85" s="13">
        <f t="shared" si="7"/>
        <v>0</v>
      </c>
    </row>
    <row r="86" spans="1:16">
      <c r="A86" s="54"/>
      <c r="B86" s="272" t="s">
        <v>165</v>
      </c>
      <c r="C86" s="392"/>
      <c r="D86" s="379"/>
      <c r="E86" s="324"/>
      <c r="F86" s="360"/>
      <c r="G86" s="364"/>
      <c r="H86" s="365"/>
      <c r="I86" s="366"/>
      <c r="J86" s="323"/>
      <c r="K86" s="324"/>
      <c r="L86" s="325"/>
      <c r="M86" s="326"/>
      <c r="N86" s="326"/>
      <c r="O86" s="322"/>
      <c r="P86" s="13">
        <f t="shared" si="7"/>
        <v>0</v>
      </c>
    </row>
    <row r="87" spans="1:16">
      <c r="A87" s="54" t="s">
        <v>166</v>
      </c>
      <c r="B87" s="281" t="s">
        <v>167</v>
      </c>
      <c r="C87" s="392">
        <f>MAX(1500,5*M18)</f>
        <v>1500</v>
      </c>
      <c r="D87" s="379">
        <f>IF(M18&gt;0,1,0)</f>
        <v>0</v>
      </c>
      <c r="E87" s="324">
        <f>C87*D87</f>
        <v>0</v>
      </c>
      <c r="F87" s="49"/>
      <c r="G87" s="418"/>
      <c r="H87" s="777"/>
      <c r="I87" s="778"/>
      <c r="J87" s="323">
        <f>F87+H87</f>
        <v>0</v>
      </c>
      <c r="K87" s="324">
        <f>G87+I87</f>
        <v>0</v>
      </c>
      <c r="L87" s="325">
        <f>J87-D87</f>
        <v>0</v>
      </c>
      <c r="M87" s="326">
        <f>K87-E87</f>
        <v>0</v>
      </c>
      <c r="N87" s="371">
        <f>IF(M87&gt;0,M87,-M87)</f>
        <v>0</v>
      </c>
      <c r="O87" s="412">
        <f>IF(G87=FALSE,0,IF(N87&gt;=0,(E87-I87),0))</f>
        <v>0</v>
      </c>
      <c r="P87" s="13">
        <f t="shared" si="7"/>
        <v>0</v>
      </c>
    </row>
    <row r="88" spans="1:16" ht="13.8" thickBot="1">
      <c r="A88" s="54" t="s">
        <v>168</v>
      </c>
      <c r="B88" s="281" t="s">
        <v>169</v>
      </c>
      <c r="C88" s="393">
        <f>MAX(600,2*M18)</f>
        <v>600</v>
      </c>
      <c r="D88" s="383">
        <f>IF(M18&gt;0,1,0)</f>
        <v>0</v>
      </c>
      <c r="E88" s="328">
        <f>C88*D88</f>
        <v>0</v>
      </c>
      <c r="F88" s="779"/>
      <c r="G88" s="768"/>
      <c r="H88" s="780"/>
      <c r="I88" s="781"/>
      <c r="J88" s="327">
        <f>F88+H88</f>
        <v>0</v>
      </c>
      <c r="K88" s="328">
        <f>G88+I88</f>
        <v>0</v>
      </c>
      <c r="L88" s="329">
        <f>J88-D88</f>
        <v>0</v>
      </c>
      <c r="M88" s="330">
        <f>K88-E88</f>
        <v>0</v>
      </c>
      <c r="N88" s="371">
        <f>IF(M88&gt;0,M88,-M88)</f>
        <v>0</v>
      </c>
      <c r="O88" s="412">
        <f>IF(G88=FALSE,0,IF(N88&gt;=0,(E88-I88),0))</f>
        <v>0</v>
      </c>
      <c r="P88" s="13">
        <f t="shared" si="7"/>
        <v>0</v>
      </c>
    </row>
    <row r="89" spans="1:16" ht="13.8" thickTop="1">
      <c r="C89" s="394"/>
      <c r="D89" s="14"/>
      <c r="N89" s="159"/>
      <c r="O89" s="321"/>
      <c r="P89" s="13"/>
    </row>
    <row r="90" spans="1:16">
      <c r="A90" s="13"/>
      <c r="B90" s="13"/>
      <c r="C90" s="394"/>
      <c r="D90" s="14"/>
      <c r="N90" s="159"/>
      <c r="O90" s="321"/>
      <c r="P90" s="13"/>
    </row>
    <row r="91" spans="1:16" ht="13.8" thickBot="1">
      <c r="A91" s="62"/>
      <c r="B91" s="63"/>
      <c r="C91" s="395"/>
      <c r="D91" s="64"/>
      <c r="E91" s="65"/>
      <c r="F91" s="216"/>
      <c r="G91" s="217"/>
      <c r="H91" s="161"/>
      <c r="I91" s="161"/>
      <c r="J91" s="66"/>
      <c r="K91" s="66"/>
      <c r="L91" s="18"/>
      <c r="M91" s="160"/>
      <c r="N91" s="160"/>
      <c r="O91" s="321"/>
      <c r="P91" s="13"/>
    </row>
    <row r="92" spans="1:16" ht="42" customHeight="1" thickTop="1" thickBot="1">
      <c r="A92" s="46"/>
      <c r="B92" s="47"/>
      <c r="C92" s="396" t="s">
        <v>27</v>
      </c>
      <c r="D92" s="843" t="s">
        <v>67</v>
      </c>
      <c r="E92" s="844"/>
      <c r="F92" s="845" t="s">
        <v>65</v>
      </c>
      <c r="G92" s="846"/>
      <c r="H92" s="847" t="s">
        <v>68</v>
      </c>
      <c r="I92" s="848"/>
      <c r="J92" s="850" t="s">
        <v>69</v>
      </c>
      <c r="K92" s="851"/>
      <c r="L92" s="860" t="s">
        <v>14</v>
      </c>
      <c r="M92" s="861"/>
      <c r="N92" s="417"/>
      <c r="O92" s="321"/>
      <c r="P92" s="13"/>
    </row>
    <row r="93" spans="1:16" ht="13.8" thickTop="1">
      <c r="A93" s="54"/>
      <c r="B93" s="272" t="s">
        <v>18</v>
      </c>
      <c r="C93" s="397"/>
      <c r="D93" s="67"/>
      <c r="E93" s="68"/>
      <c r="F93" s="235"/>
      <c r="G93" s="236"/>
      <c r="H93" s="292"/>
      <c r="I93" s="293"/>
      <c r="J93" s="70"/>
      <c r="K93" s="71"/>
      <c r="L93" s="294"/>
      <c r="M93" s="295"/>
      <c r="N93" s="160"/>
      <c r="O93" s="321"/>
      <c r="P93" s="13"/>
    </row>
    <row r="94" spans="1:16">
      <c r="A94" s="46" t="s">
        <v>170</v>
      </c>
      <c r="B94" s="279" t="s">
        <v>171</v>
      </c>
      <c r="C94" s="392">
        <f>0.5*(D12)*15</f>
        <v>0</v>
      </c>
      <c r="D94" s="384">
        <v>1</v>
      </c>
      <c r="E94" s="324">
        <f>C94*D94</f>
        <v>0</v>
      </c>
      <c r="F94" s="72"/>
      <c r="G94" s="418"/>
      <c r="H94" s="777"/>
      <c r="I94" s="778"/>
      <c r="J94" s="323">
        <f>F94+H94</f>
        <v>0</v>
      </c>
      <c r="K94" s="324">
        <f>G94+I94</f>
        <v>0</v>
      </c>
      <c r="L94" s="325">
        <f>J94-D94</f>
        <v>-1</v>
      </c>
      <c r="M94" s="371">
        <f>K94-E94</f>
        <v>0</v>
      </c>
      <c r="N94" s="371">
        <f>IF(M94&gt;0,M94,-M94)</f>
        <v>0</v>
      </c>
      <c r="O94" s="412">
        <f>IF(G94=FALSE,0,IF(N94&gt;=0,(E94-I94),0))</f>
        <v>0</v>
      </c>
      <c r="P94" s="18">
        <f t="shared" ref="P94:P115" si="18">IF(O94&lt;0,0,O94)</f>
        <v>0</v>
      </c>
    </row>
    <row r="95" spans="1:16">
      <c r="A95" s="54"/>
      <c r="B95" s="282" t="s">
        <v>172</v>
      </c>
      <c r="C95" s="392"/>
      <c r="D95" s="260"/>
      <c r="E95" s="44"/>
      <c r="F95" s="367"/>
      <c r="G95" s="364"/>
      <c r="H95" s="365"/>
      <c r="I95" s="364"/>
      <c r="J95" s="53"/>
      <c r="K95" s="48"/>
      <c r="L95" s="261"/>
      <c r="M95" s="258"/>
      <c r="N95" s="258"/>
      <c r="O95" s="321"/>
      <c r="P95" s="18"/>
    </row>
    <row r="96" spans="1:16">
      <c r="A96" s="46" t="s">
        <v>173</v>
      </c>
      <c r="B96" s="279" t="s">
        <v>46</v>
      </c>
      <c r="C96" s="392">
        <f>(D12)*2</f>
        <v>0</v>
      </c>
      <c r="D96" s="379">
        <f>IF(G8="YES",1,0)</f>
        <v>0</v>
      </c>
      <c r="E96" s="324">
        <f t="shared" ref="E96:E102" si="19">C96*D96</f>
        <v>0</v>
      </c>
      <c r="F96" s="49"/>
      <c r="G96" s="56"/>
      <c r="H96" s="57"/>
      <c r="I96" s="56"/>
      <c r="J96" s="323">
        <f>F96+H96</f>
        <v>0</v>
      </c>
      <c r="K96" s="324">
        <f>G96+I96</f>
        <v>0</v>
      </c>
      <c r="L96" s="325">
        <f>J96-D96</f>
        <v>0</v>
      </c>
      <c r="M96" s="371">
        <f>K96-E96</f>
        <v>0</v>
      </c>
      <c r="N96" s="371">
        <f>IF(M96&gt;0,M96,-M96)</f>
        <v>0</v>
      </c>
      <c r="O96" s="412">
        <f>IF(N96&gt;=0,(E96-I96),0)</f>
        <v>0</v>
      </c>
      <c r="P96" s="18">
        <f t="shared" si="18"/>
        <v>0</v>
      </c>
    </row>
    <row r="97" spans="1:18">
      <c r="A97" s="46" t="s">
        <v>174</v>
      </c>
      <c r="B97" s="279" t="s">
        <v>175</v>
      </c>
      <c r="C97" s="392">
        <f>SUM(C98:C102)</f>
        <v>0</v>
      </c>
      <c r="D97" s="379">
        <f>IF(G9="YES",1,0)</f>
        <v>1</v>
      </c>
      <c r="E97" s="324">
        <f t="shared" si="19"/>
        <v>0</v>
      </c>
      <c r="F97" s="368"/>
      <c r="G97" s="369"/>
      <c r="H97" s="370"/>
      <c r="I97" s="369"/>
      <c r="J97" s="53"/>
      <c r="K97" s="48"/>
      <c r="L97" s="261"/>
      <c r="M97" s="258"/>
      <c r="N97" s="258"/>
      <c r="O97" s="321">
        <f>E97</f>
        <v>0</v>
      </c>
      <c r="P97" s="18">
        <f t="shared" si="18"/>
        <v>0</v>
      </c>
      <c r="Q97" s="218"/>
      <c r="R97" s="219"/>
    </row>
    <row r="98" spans="1:18">
      <c r="A98" s="46" t="s">
        <v>176</v>
      </c>
      <c r="B98" s="279" t="s">
        <v>177</v>
      </c>
      <c r="C98" s="392">
        <f>ROUNDUP(($D$12)*3.5*0.36,0)</f>
        <v>0</v>
      </c>
      <c r="D98" s="379">
        <f>D$97</f>
        <v>1</v>
      </c>
      <c r="E98" s="324">
        <f t="shared" si="19"/>
        <v>0</v>
      </c>
      <c r="F98" s="769"/>
      <c r="G98" s="418"/>
      <c r="H98" s="777"/>
      <c r="I98" s="418"/>
      <c r="J98" s="323">
        <f t="shared" ref="J98:K102" si="20">F98+H98</f>
        <v>0</v>
      </c>
      <c r="K98" s="324">
        <f t="shared" si="20"/>
        <v>0</v>
      </c>
      <c r="L98" s="325">
        <f t="shared" ref="L98:M102" si="21">J98-D98</f>
        <v>-1</v>
      </c>
      <c r="M98" s="371">
        <f t="shared" si="21"/>
        <v>0</v>
      </c>
      <c r="N98" s="371">
        <f>IF(M98&gt;0,M98,-M98)</f>
        <v>0</v>
      </c>
      <c r="O98" s="412">
        <f>IF(G98=FALSE,0,IF(N98&gt;=0,(E98-I98),0))</f>
        <v>0</v>
      </c>
      <c r="P98" s="18">
        <f t="shared" si="18"/>
        <v>0</v>
      </c>
      <c r="Q98" s="218"/>
      <c r="R98" s="219"/>
    </row>
    <row r="99" spans="1:18">
      <c r="A99" s="46" t="s">
        <v>178</v>
      </c>
      <c r="B99" s="279" t="s">
        <v>179</v>
      </c>
      <c r="C99" s="392">
        <f>ROUNDUP(($D$12)*3.5*0.34,0)</f>
        <v>0</v>
      </c>
      <c r="D99" s="379">
        <f>D$97</f>
        <v>1</v>
      </c>
      <c r="E99" s="324">
        <f t="shared" si="19"/>
        <v>0</v>
      </c>
      <c r="F99" s="769"/>
      <c r="G99" s="418"/>
      <c r="H99" s="777"/>
      <c r="I99" s="418"/>
      <c r="J99" s="323">
        <f t="shared" si="20"/>
        <v>0</v>
      </c>
      <c r="K99" s="324">
        <f t="shared" si="20"/>
        <v>0</v>
      </c>
      <c r="L99" s="325">
        <f t="shared" si="21"/>
        <v>-1</v>
      </c>
      <c r="M99" s="371">
        <f t="shared" si="21"/>
        <v>0</v>
      </c>
      <c r="N99" s="371">
        <f>IF(M99&gt;0,M99,-M99)</f>
        <v>0</v>
      </c>
      <c r="O99" s="412">
        <f>IF(G99=FALSE,0,IF(N99&gt;=0,(E99-I99),0))</f>
        <v>0</v>
      </c>
      <c r="P99" s="18">
        <f t="shared" si="18"/>
        <v>0</v>
      </c>
      <c r="Q99" s="218"/>
      <c r="R99" s="219"/>
    </row>
    <row r="100" spans="1:18">
      <c r="A100" s="46" t="s">
        <v>180</v>
      </c>
      <c r="B100" s="279" t="s">
        <v>181</v>
      </c>
      <c r="C100" s="392">
        <f>ROUNDUP(($D$12)*3.5*0.11,0)</f>
        <v>0</v>
      </c>
      <c r="D100" s="379">
        <f>D$97</f>
        <v>1</v>
      </c>
      <c r="E100" s="324">
        <f t="shared" si="19"/>
        <v>0</v>
      </c>
      <c r="F100" s="769"/>
      <c r="G100" s="418"/>
      <c r="H100" s="777"/>
      <c r="I100" s="418"/>
      <c r="J100" s="323">
        <f t="shared" si="20"/>
        <v>0</v>
      </c>
      <c r="K100" s="324">
        <f t="shared" si="20"/>
        <v>0</v>
      </c>
      <c r="L100" s="325">
        <f t="shared" si="21"/>
        <v>-1</v>
      </c>
      <c r="M100" s="371">
        <f t="shared" si="21"/>
        <v>0</v>
      </c>
      <c r="N100" s="371">
        <f>IF(M100&gt;0,M100,-M100)</f>
        <v>0</v>
      </c>
      <c r="O100" s="412">
        <f>IF(G100=FALSE,0,IF(N100&gt;=0,(E100-I100),0))</f>
        <v>0</v>
      </c>
      <c r="P100" s="18">
        <f t="shared" si="18"/>
        <v>0</v>
      </c>
      <c r="Q100" s="218"/>
      <c r="R100" s="219"/>
    </row>
    <row r="101" spans="1:18">
      <c r="A101" s="46" t="s">
        <v>182</v>
      </c>
      <c r="B101" s="279" t="s">
        <v>183</v>
      </c>
      <c r="C101" s="392">
        <f>ROUNDUP(($D$12)*3.5*0.1,0)</f>
        <v>0</v>
      </c>
      <c r="D101" s="379">
        <f>D$97</f>
        <v>1</v>
      </c>
      <c r="E101" s="324">
        <f t="shared" si="19"/>
        <v>0</v>
      </c>
      <c r="F101" s="769"/>
      <c r="G101" s="418"/>
      <c r="H101" s="777"/>
      <c r="I101" s="418"/>
      <c r="J101" s="323">
        <f t="shared" si="20"/>
        <v>0</v>
      </c>
      <c r="K101" s="324">
        <f t="shared" si="20"/>
        <v>0</v>
      </c>
      <c r="L101" s="325">
        <f t="shared" si="21"/>
        <v>-1</v>
      </c>
      <c r="M101" s="371">
        <f t="shared" si="21"/>
        <v>0</v>
      </c>
      <c r="N101" s="371">
        <f>IF(M101&gt;0,M101,-M101)</f>
        <v>0</v>
      </c>
      <c r="O101" s="412">
        <f>IF(G101=FALSE,0,IF(N101&gt;=0,(E101-I101),0))</f>
        <v>0</v>
      </c>
      <c r="P101" s="18">
        <f t="shared" si="18"/>
        <v>0</v>
      </c>
      <c r="Q101" s="218"/>
      <c r="R101" s="219"/>
    </row>
    <row r="102" spans="1:18">
      <c r="A102" s="46" t="s">
        <v>184</v>
      </c>
      <c r="B102" s="279" t="s">
        <v>185</v>
      </c>
      <c r="C102" s="392">
        <f>ROUNDUP(($D$12)*3.5*0.09,0)</f>
        <v>0</v>
      </c>
      <c r="D102" s="379">
        <f>D$97</f>
        <v>1</v>
      </c>
      <c r="E102" s="324">
        <f t="shared" si="19"/>
        <v>0</v>
      </c>
      <c r="F102" s="769"/>
      <c r="G102" s="418"/>
      <c r="H102" s="777"/>
      <c r="I102" s="418"/>
      <c r="J102" s="323">
        <f t="shared" si="20"/>
        <v>0</v>
      </c>
      <c r="K102" s="324">
        <f t="shared" si="20"/>
        <v>0</v>
      </c>
      <c r="L102" s="325">
        <f t="shared" si="21"/>
        <v>-1</v>
      </c>
      <c r="M102" s="371">
        <f t="shared" si="21"/>
        <v>0</v>
      </c>
      <c r="N102" s="371">
        <f>IF(M102&gt;0,M102,-M102)</f>
        <v>0</v>
      </c>
      <c r="O102" s="412">
        <f>IF(G102=FALSE,0,IF(N102&gt;=0,(E102-I102),0))</f>
        <v>0</v>
      </c>
      <c r="P102" s="18">
        <f t="shared" si="18"/>
        <v>0</v>
      </c>
      <c r="Q102" s="218"/>
      <c r="R102" s="219"/>
    </row>
    <row r="103" spans="1:18">
      <c r="A103" s="54"/>
      <c r="B103" s="282" t="s">
        <v>186</v>
      </c>
      <c r="C103" s="392"/>
      <c r="D103" s="260"/>
      <c r="E103" s="44"/>
      <c r="F103" s="360"/>
      <c r="G103" s="361"/>
      <c r="H103" s="362"/>
      <c r="I103" s="361"/>
      <c r="J103" s="53"/>
      <c r="K103" s="48"/>
      <c r="L103" s="261"/>
      <c r="M103" s="259"/>
      <c r="N103" s="259"/>
      <c r="O103" s="321"/>
      <c r="P103" s="18"/>
    </row>
    <row r="104" spans="1:18">
      <c r="A104" s="54" t="s">
        <v>187</v>
      </c>
      <c r="B104" s="281" t="s">
        <v>188</v>
      </c>
      <c r="C104" s="392">
        <f>ROUNDUP(MAX(125,(D12)*0.5),0)</f>
        <v>125</v>
      </c>
      <c r="D104" s="379">
        <v>1</v>
      </c>
      <c r="E104" s="324">
        <f>C104*D104</f>
        <v>125</v>
      </c>
      <c r="F104" s="765"/>
      <c r="G104" s="50"/>
      <c r="H104" s="51"/>
      <c r="I104" s="50"/>
      <c r="J104" s="323">
        <f t="shared" ref="J104:J115" si="22">F104+H104</f>
        <v>0</v>
      </c>
      <c r="K104" s="324">
        <f t="shared" ref="K104:K115" si="23">G104+I104</f>
        <v>0</v>
      </c>
      <c r="L104" s="325">
        <f>J104-D104</f>
        <v>-1</v>
      </c>
      <c r="M104" s="371">
        <f>K104-E104</f>
        <v>-125</v>
      </c>
      <c r="N104" s="371">
        <f t="shared" ref="N104:N115" si="24">IF(M104&gt;0,M104,-M104)</f>
        <v>125</v>
      </c>
      <c r="O104" s="412">
        <f t="shared" ref="O104:O115" si="25">IF(G104=FALSE,0,IF(N104&gt;=0,(E104-I104),0))</f>
        <v>0</v>
      </c>
      <c r="P104" s="18">
        <f t="shared" si="18"/>
        <v>0</v>
      </c>
    </row>
    <row r="105" spans="1:18">
      <c r="A105" s="54" t="s">
        <v>189</v>
      </c>
      <c r="B105" s="289" t="s">
        <v>190</v>
      </c>
      <c r="C105" s="392">
        <f>IF(D105=0,0,IF(D12&gt;1000,0.015*SUM(E29:E104),(3.0385-0.0015*D12)/100*SUM(E29:E104)))</f>
        <v>0</v>
      </c>
      <c r="D105" s="379">
        <f>IF(I12="YES - Multi-Story", 1,0)</f>
        <v>0</v>
      </c>
      <c r="E105" s="324">
        <f>C105*D105</f>
        <v>0</v>
      </c>
      <c r="F105" s="765"/>
      <c r="G105" s="50"/>
      <c r="H105" s="51"/>
      <c r="I105" s="50"/>
      <c r="J105" s="323">
        <f t="shared" si="22"/>
        <v>0</v>
      </c>
      <c r="K105" s="324">
        <f t="shared" si="23"/>
        <v>0</v>
      </c>
      <c r="L105" s="325">
        <f>J105-D105</f>
        <v>0</v>
      </c>
      <c r="M105" s="371">
        <f>K105-E105</f>
        <v>0</v>
      </c>
      <c r="N105" s="371">
        <f t="shared" si="24"/>
        <v>0</v>
      </c>
      <c r="O105" s="412">
        <f t="shared" si="25"/>
        <v>0</v>
      </c>
      <c r="P105" s="18">
        <f t="shared" si="18"/>
        <v>0</v>
      </c>
    </row>
    <row r="106" spans="1:18">
      <c r="A106" s="46" t="s">
        <v>191</v>
      </c>
      <c r="B106" s="279" t="s">
        <v>192</v>
      </c>
      <c r="C106" s="392">
        <f>ROUNDUP((SUM($E$29:$E$104)-E$97)*0.03,0)</f>
        <v>96</v>
      </c>
      <c r="D106" s="385"/>
      <c r="E106" s="386">
        <f>C106</f>
        <v>96</v>
      </c>
      <c r="F106" s="769"/>
      <c r="G106" s="418"/>
      <c r="H106" s="777"/>
      <c r="I106" s="418"/>
      <c r="J106" s="323">
        <f t="shared" si="22"/>
        <v>0</v>
      </c>
      <c r="K106" s="324">
        <f t="shared" si="23"/>
        <v>0</v>
      </c>
      <c r="L106" s="325"/>
      <c r="M106" s="371">
        <f t="shared" ref="M106:M115" si="26">K106-E106</f>
        <v>-96</v>
      </c>
      <c r="N106" s="371">
        <f t="shared" si="24"/>
        <v>96</v>
      </c>
      <c r="O106" s="412">
        <f t="shared" si="25"/>
        <v>0</v>
      </c>
      <c r="P106" s="18">
        <f t="shared" si="18"/>
        <v>0</v>
      </c>
    </row>
    <row r="107" spans="1:18">
      <c r="A107" s="46" t="s">
        <v>193</v>
      </c>
      <c r="B107" s="279" t="s">
        <v>194</v>
      </c>
      <c r="C107" s="392">
        <v>50</v>
      </c>
      <c r="D107" s="379">
        <v>1</v>
      </c>
      <c r="E107" s="324">
        <f>C107*D107</f>
        <v>50</v>
      </c>
      <c r="F107" s="765"/>
      <c r="G107" s="50"/>
      <c r="H107" s="51"/>
      <c r="I107" s="50"/>
      <c r="J107" s="323">
        <f t="shared" si="22"/>
        <v>0</v>
      </c>
      <c r="K107" s="324">
        <f t="shared" si="23"/>
        <v>0</v>
      </c>
      <c r="L107" s="325">
        <f>J107-D107</f>
        <v>-1</v>
      </c>
      <c r="M107" s="371">
        <f t="shared" si="26"/>
        <v>-50</v>
      </c>
      <c r="N107" s="371">
        <f t="shared" si="24"/>
        <v>50</v>
      </c>
      <c r="O107" s="412">
        <f t="shared" si="25"/>
        <v>0</v>
      </c>
      <c r="P107" s="18">
        <f t="shared" si="18"/>
        <v>0</v>
      </c>
    </row>
    <row r="108" spans="1:18">
      <c r="A108" s="46" t="s">
        <v>195</v>
      </c>
      <c r="B108" s="279" t="s">
        <v>196</v>
      </c>
      <c r="C108" s="392">
        <v>50</v>
      </c>
      <c r="D108" s="379">
        <v>1</v>
      </c>
      <c r="E108" s="324">
        <f>C108*D108</f>
        <v>50</v>
      </c>
      <c r="F108" s="765"/>
      <c r="G108" s="50"/>
      <c r="H108" s="51"/>
      <c r="I108" s="50"/>
      <c r="J108" s="323">
        <f t="shared" si="22"/>
        <v>0</v>
      </c>
      <c r="K108" s="324">
        <f t="shared" si="23"/>
        <v>0</v>
      </c>
      <c r="L108" s="325">
        <f>J108-D108</f>
        <v>-1</v>
      </c>
      <c r="M108" s="371">
        <f t="shared" si="26"/>
        <v>-50</v>
      </c>
      <c r="N108" s="371">
        <f t="shared" si="24"/>
        <v>50</v>
      </c>
      <c r="O108" s="412">
        <f t="shared" si="25"/>
        <v>0</v>
      </c>
      <c r="P108" s="18">
        <f t="shared" si="18"/>
        <v>0</v>
      </c>
    </row>
    <row r="109" spans="1:18">
      <c r="A109" s="46" t="s">
        <v>197</v>
      </c>
      <c r="B109" s="279" t="s">
        <v>198</v>
      </c>
      <c r="C109" s="392">
        <v>64</v>
      </c>
      <c r="D109" s="379">
        <v>1</v>
      </c>
      <c r="E109" s="324">
        <f>C109*D109</f>
        <v>64</v>
      </c>
      <c r="F109" s="765"/>
      <c r="G109" s="50"/>
      <c r="H109" s="51"/>
      <c r="I109" s="50"/>
      <c r="J109" s="323">
        <f t="shared" si="22"/>
        <v>0</v>
      </c>
      <c r="K109" s="324">
        <f t="shared" si="23"/>
        <v>0</v>
      </c>
      <c r="L109" s="325">
        <f>J109-D109</f>
        <v>-1</v>
      </c>
      <c r="M109" s="371">
        <f t="shared" si="26"/>
        <v>-64</v>
      </c>
      <c r="N109" s="371">
        <f t="shared" si="24"/>
        <v>64</v>
      </c>
      <c r="O109" s="412">
        <f t="shared" si="25"/>
        <v>0</v>
      </c>
      <c r="P109" s="18">
        <f t="shared" si="18"/>
        <v>0</v>
      </c>
    </row>
    <row r="110" spans="1:18">
      <c r="A110" s="46" t="s">
        <v>199</v>
      </c>
      <c r="B110" s="279" t="s">
        <v>200</v>
      </c>
      <c r="C110" s="392">
        <f>ROUNDUP((SUM($E$29:$E$104)-E$97)*0.2,0)</f>
        <v>635</v>
      </c>
      <c r="D110" s="385"/>
      <c r="E110" s="386">
        <f>C110</f>
        <v>635</v>
      </c>
      <c r="F110" s="769"/>
      <c r="G110" s="418"/>
      <c r="H110" s="777"/>
      <c r="I110" s="418"/>
      <c r="J110" s="323">
        <f t="shared" si="22"/>
        <v>0</v>
      </c>
      <c r="K110" s="324">
        <f t="shared" si="23"/>
        <v>0</v>
      </c>
      <c r="L110" s="325"/>
      <c r="M110" s="371">
        <f t="shared" si="26"/>
        <v>-635</v>
      </c>
      <c r="N110" s="371">
        <f t="shared" si="24"/>
        <v>635</v>
      </c>
      <c r="O110" s="412">
        <f>IF(G110=FALSE,0,IF(N110&gt;=0,(E110-I110),0))</f>
        <v>0</v>
      </c>
      <c r="P110" s="18">
        <f t="shared" si="18"/>
        <v>0</v>
      </c>
    </row>
    <row r="111" spans="1:18">
      <c r="A111" s="46" t="s">
        <v>201</v>
      </c>
      <c r="B111" s="279" t="s">
        <v>202</v>
      </c>
      <c r="C111" s="392">
        <f>ROUNDUP((SUM($E$29:$E$104)-E$97)*0.055,0)</f>
        <v>175</v>
      </c>
      <c r="D111" s="385"/>
      <c r="E111" s="386">
        <f>C111</f>
        <v>175</v>
      </c>
      <c r="F111" s="769"/>
      <c r="G111" s="418"/>
      <c r="H111" s="777"/>
      <c r="I111" s="418"/>
      <c r="J111" s="323">
        <f t="shared" si="22"/>
        <v>0</v>
      </c>
      <c r="K111" s="324">
        <f t="shared" si="23"/>
        <v>0</v>
      </c>
      <c r="L111" s="325"/>
      <c r="M111" s="371">
        <f t="shared" si="26"/>
        <v>-175</v>
      </c>
      <c r="N111" s="371">
        <f t="shared" si="24"/>
        <v>175</v>
      </c>
      <c r="O111" s="412">
        <f t="shared" si="25"/>
        <v>0</v>
      </c>
      <c r="P111" s="18">
        <f t="shared" si="18"/>
        <v>0</v>
      </c>
    </row>
    <row r="112" spans="1:18">
      <c r="A112" s="46" t="s">
        <v>203</v>
      </c>
      <c r="B112" s="279" t="s">
        <v>204</v>
      </c>
      <c r="C112" s="392">
        <v>150</v>
      </c>
      <c r="D112" s="379">
        <v>1</v>
      </c>
      <c r="E112" s="324">
        <f>C112*D112</f>
        <v>150</v>
      </c>
      <c r="F112" s="765"/>
      <c r="G112" s="50"/>
      <c r="H112" s="51"/>
      <c r="I112" s="50"/>
      <c r="J112" s="323">
        <f t="shared" si="22"/>
        <v>0</v>
      </c>
      <c r="K112" s="324">
        <f t="shared" si="23"/>
        <v>0</v>
      </c>
      <c r="L112" s="325">
        <f>J112-D112</f>
        <v>-1</v>
      </c>
      <c r="M112" s="371">
        <f t="shared" si="26"/>
        <v>-150</v>
      </c>
      <c r="N112" s="371">
        <f t="shared" si="24"/>
        <v>150</v>
      </c>
      <c r="O112" s="412">
        <f t="shared" si="25"/>
        <v>0</v>
      </c>
      <c r="P112" s="18">
        <f t="shared" si="18"/>
        <v>0</v>
      </c>
    </row>
    <row r="113" spans="1:16">
      <c r="A113" s="46" t="s">
        <v>205</v>
      </c>
      <c r="B113" s="279" t="s">
        <v>206</v>
      </c>
      <c r="C113" s="392">
        <v>150</v>
      </c>
      <c r="D113" s="379">
        <v>1</v>
      </c>
      <c r="E113" s="324">
        <f>C113*D113</f>
        <v>150</v>
      </c>
      <c r="F113" s="765"/>
      <c r="G113" s="50"/>
      <c r="H113" s="51"/>
      <c r="I113" s="50"/>
      <c r="J113" s="323">
        <f t="shared" si="22"/>
        <v>0</v>
      </c>
      <c r="K113" s="324">
        <f t="shared" si="23"/>
        <v>0</v>
      </c>
      <c r="L113" s="325">
        <f>J113-D113</f>
        <v>-1</v>
      </c>
      <c r="M113" s="371">
        <f t="shared" si="26"/>
        <v>-150</v>
      </c>
      <c r="N113" s="371">
        <f t="shared" si="24"/>
        <v>150</v>
      </c>
      <c r="O113" s="412">
        <f t="shared" si="25"/>
        <v>0</v>
      </c>
      <c r="P113" s="18">
        <f t="shared" si="18"/>
        <v>0</v>
      </c>
    </row>
    <row r="114" spans="1:16">
      <c r="A114" s="73" t="s">
        <v>207</v>
      </c>
      <c r="B114" s="290" t="s">
        <v>208</v>
      </c>
      <c r="C114" s="392">
        <v>100</v>
      </c>
      <c r="D114" s="379">
        <v>1</v>
      </c>
      <c r="E114" s="387">
        <f>C114*D114</f>
        <v>100</v>
      </c>
      <c r="F114" s="782"/>
      <c r="G114" s="74"/>
      <c r="H114" s="75"/>
      <c r="I114" s="74"/>
      <c r="J114" s="374">
        <f t="shared" si="22"/>
        <v>0</v>
      </c>
      <c r="K114" s="324">
        <f t="shared" si="23"/>
        <v>0</v>
      </c>
      <c r="L114" s="325">
        <f>J114-D114</f>
        <v>-1</v>
      </c>
      <c r="M114" s="371">
        <f t="shared" si="26"/>
        <v>-100</v>
      </c>
      <c r="N114" s="371">
        <f t="shared" si="24"/>
        <v>100</v>
      </c>
      <c r="O114" s="412">
        <f t="shared" si="25"/>
        <v>0</v>
      </c>
      <c r="P114" s="18">
        <f t="shared" si="18"/>
        <v>0</v>
      </c>
    </row>
    <row r="115" spans="1:16" ht="13.8" thickBot="1">
      <c r="A115" s="76" t="s">
        <v>209</v>
      </c>
      <c r="B115" s="291" t="s">
        <v>210</v>
      </c>
      <c r="C115" s="393">
        <v>150</v>
      </c>
      <c r="D115" s="383">
        <v>1</v>
      </c>
      <c r="E115" s="388">
        <f>C115*D115</f>
        <v>150</v>
      </c>
      <c r="F115" s="783"/>
      <c r="G115" s="77"/>
      <c r="H115" s="78"/>
      <c r="I115" s="77"/>
      <c r="J115" s="327">
        <f t="shared" si="22"/>
        <v>0</v>
      </c>
      <c r="K115" s="328">
        <f t="shared" si="23"/>
        <v>0</v>
      </c>
      <c r="L115" s="329">
        <f>J115-D115</f>
        <v>-1</v>
      </c>
      <c r="M115" s="375">
        <f t="shared" si="26"/>
        <v>-150</v>
      </c>
      <c r="N115" s="371">
        <f t="shared" si="24"/>
        <v>150</v>
      </c>
      <c r="O115" s="412">
        <f t="shared" si="25"/>
        <v>0</v>
      </c>
      <c r="P115" s="18">
        <f t="shared" si="18"/>
        <v>0</v>
      </c>
    </row>
    <row r="116" spans="1:16" ht="13.8" thickTop="1">
      <c r="D116" s="14"/>
      <c r="G116" s="13"/>
      <c r="H116" s="13"/>
      <c r="I116" s="13"/>
      <c r="J116" s="13"/>
      <c r="K116" s="13"/>
      <c r="L116" s="13"/>
      <c r="O116" s="13"/>
      <c r="P116" s="13"/>
    </row>
    <row r="118" spans="1:16">
      <c r="A118" s="229" t="s">
        <v>586</v>
      </c>
      <c r="B118" s="230"/>
      <c r="C118" s="230"/>
      <c r="D118" s="230"/>
      <c r="E118" s="230"/>
      <c r="F118" s="230"/>
      <c r="G118" s="230"/>
      <c r="H118" s="230"/>
      <c r="I118" s="230"/>
      <c r="J118" s="230"/>
      <c r="K118" s="230"/>
      <c r="L118" s="230"/>
    </row>
    <row r="119" spans="1:16">
      <c r="A119" s="231" t="s">
        <v>588</v>
      </c>
      <c r="B119" s="58"/>
      <c r="C119" s="58"/>
      <c r="D119" s="58"/>
      <c r="E119" s="58"/>
      <c r="F119" s="58"/>
      <c r="G119" s="58"/>
      <c r="H119" s="58"/>
      <c r="I119" s="58"/>
      <c r="J119" s="58"/>
      <c r="K119" s="58"/>
      <c r="L119" s="58"/>
    </row>
    <row r="120" spans="1:16">
      <c r="A120" s="58"/>
      <c r="B120" s="231" t="s">
        <v>587</v>
      </c>
      <c r="D120" s="58"/>
      <c r="E120" s="58"/>
      <c r="F120" s="58"/>
      <c r="G120" s="58"/>
      <c r="H120" s="58"/>
      <c r="I120" s="58"/>
      <c r="J120" s="58"/>
      <c r="K120" s="58"/>
      <c r="L120" s="58"/>
    </row>
    <row r="121" spans="1:16">
      <c r="A121" s="79"/>
      <c r="B121" s="79"/>
      <c r="C121" s="79"/>
      <c r="D121" s="79"/>
      <c r="E121" s="79"/>
      <c r="F121" s="79"/>
      <c r="G121" s="79"/>
      <c r="H121" s="79"/>
      <c r="I121" s="79"/>
      <c r="J121" s="79"/>
      <c r="K121" s="79"/>
      <c r="L121" s="79"/>
    </row>
    <row r="122" spans="1:16">
      <c r="A122" s="79"/>
      <c r="B122" s="79"/>
      <c r="C122" s="79"/>
      <c r="D122" s="79"/>
      <c r="E122" s="79"/>
      <c r="F122" s="79"/>
      <c r="G122" s="79"/>
      <c r="H122" s="79"/>
      <c r="I122" s="79"/>
      <c r="J122" s="79"/>
      <c r="K122" s="79"/>
      <c r="L122" s="79"/>
    </row>
    <row r="123" spans="1:16">
      <c r="A123" s="79"/>
      <c r="B123" s="79"/>
      <c r="C123" s="79"/>
      <c r="D123" s="79"/>
      <c r="E123" s="79"/>
      <c r="F123" s="79"/>
      <c r="G123" s="79"/>
      <c r="H123" s="79"/>
      <c r="I123" s="79"/>
      <c r="J123" s="79"/>
      <c r="K123" s="79"/>
      <c r="L123" s="79"/>
    </row>
    <row r="124" spans="1:16">
      <c r="A124" s="79"/>
      <c r="B124" s="181"/>
      <c r="C124" s="79"/>
      <c r="D124" s="79"/>
      <c r="E124" s="79"/>
      <c r="F124" s="79"/>
      <c r="G124" s="79"/>
      <c r="H124" s="79"/>
      <c r="I124" s="79"/>
      <c r="J124" s="79"/>
      <c r="K124" s="79"/>
      <c r="L124" s="79"/>
    </row>
    <row r="125" spans="1:16">
      <c r="A125" s="79"/>
      <c r="B125" s="79"/>
      <c r="C125" s="79"/>
      <c r="D125" s="79"/>
      <c r="E125" s="79"/>
      <c r="F125" s="79"/>
      <c r="G125" s="79"/>
      <c r="H125" s="79"/>
      <c r="I125" s="79"/>
      <c r="J125" s="79"/>
      <c r="K125" s="79"/>
      <c r="L125" s="79"/>
    </row>
    <row r="126" spans="1:16">
      <c r="A126" s="79"/>
      <c r="B126" s="79"/>
      <c r="C126" s="79"/>
      <c r="D126" s="79"/>
      <c r="E126" s="79"/>
      <c r="F126" s="79"/>
      <c r="G126" s="79"/>
      <c r="H126" s="79"/>
      <c r="I126" s="79"/>
      <c r="J126" s="79"/>
      <c r="K126" s="79"/>
      <c r="L126" s="79"/>
    </row>
    <row r="127" spans="1:16">
      <c r="A127" s="79"/>
      <c r="B127" s="79"/>
      <c r="C127" s="79"/>
      <c r="D127" s="79"/>
      <c r="E127" s="79"/>
      <c r="F127" s="79"/>
      <c r="G127" s="79"/>
      <c r="H127" s="79"/>
      <c r="I127" s="79"/>
      <c r="J127" s="79"/>
      <c r="K127" s="79"/>
      <c r="L127" s="79"/>
    </row>
    <row r="128" spans="1:16">
      <c r="A128" s="220"/>
      <c r="B128" s="220"/>
      <c r="C128" s="220"/>
      <c r="D128" s="220"/>
      <c r="E128" s="220"/>
      <c r="F128" s="220"/>
      <c r="G128" s="220"/>
      <c r="H128" s="220"/>
      <c r="I128" s="220"/>
      <c r="J128" s="220"/>
      <c r="K128" s="220"/>
      <c r="L128" s="220"/>
    </row>
  </sheetData>
  <sheetProtection algorithmName="SHA-512" hashValue="P9B+fIRVsfbYVxcOgTLVgqwpzq0TSbrs1ueKNpMK85+fXYFBN/blGAl5cF5WSdHZOiXKrANkNqHYacW4nmTb3A==" saltValue="lu4vgFSeYDO2mGQYNKN5LA==" spinCount="100000" sheet="1" selectLockedCells="1"/>
  <mergeCells count="17">
    <mergeCell ref="L92:M92"/>
    <mergeCell ref="C2:D2"/>
    <mergeCell ref="L26:M26"/>
    <mergeCell ref="C1:D1"/>
    <mergeCell ref="C3:D3"/>
    <mergeCell ref="C4:D4"/>
    <mergeCell ref="I12:J12"/>
    <mergeCell ref="D92:E92"/>
    <mergeCell ref="F92:G92"/>
    <mergeCell ref="H92:I92"/>
    <mergeCell ref="H19:J19"/>
    <mergeCell ref="J92:K92"/>
    <mergeCell ref="D26:E26"/>
    <mergeCell ref="F26:G26"/>
    <mergeCell ref="H26:I26"/>
    <mergeCell ref="J26:K26"/>
    <mergeCell ref="G3:H3"/>
  </mergeCells>
  <phoneticPr fontId="0" type="noConversion"/>
  <dataValidations count="2">
    <dataValidation type="list" allowBlank="1" showInputMessage="1" showErrorMessage="1" sqref="G8 G10:G11" xr:uid="{00000000-0002-0000-0200-000000000000}">
      <formula1>"YES, NO"</formula1>
    </dataValidation>
    <dataValidation type="list" allowBlank="1" showInputMessage="1" showErrorMessage="1" sqref="I12" xr:uid="{00000000-0002-0000-0200-000001000000}">
      <formula1>"NO - Single Story, YES - Multi-Story"</formula1>
    </dataValidation>
  </dataValidations>
  <printOptions gridLines="1"/>
  <pageMargins left="0.75" right="0.5" top="1" bottom="0.75" header="0.5" footer="0.5"/>
  <pageSetup scale="61" fitToHeight="10" orientation="portrait" r:id="rId1"/>
  <headerFooter alignWithMargins="0">
    <oddHeader>&amp;LForm revised February 9, 2022&amp;C&amp;"Arial,Bold"&amp;11ARKANSAS SCHOOL FACILITY MANUAL
PROGRAM OF REQUIREMENTS (POR)  
SUMMARY AND REQUIRED SPACES
&amp;RForm Printed
&amp;D</oddHeader>
    <oddFooter>&amp;L&amp;8Division of Public School Academic Facilities and Transportation
&amp;C5600 - &amp;P&amp;R&amp;8Form revised February 9, 2022 *</oddFooter>
  </headerFooter>
  <ignoredErrors>
    <ignoredError sqref="E106" formula="1"/>
    <ignoredError sqref="M18 C45:D45 D46 D7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pageSetUpPr fitToPage="1"/>
  </sheetPr>
  <dimension ref="A1:I32"/>
  <sheetViews>
    <sheetView topLeftCell="A7" workbookViewId="0">
      <selection activeCell="B24" sqref="B24"/>
    </sheetView>
  </sheetViews>
  <sheetFormatPr defaultColWidth="9.109375" defaultRowHeight="13.2"/>
  <cols>
    <col min="1" max="1" width="42.5546875" style="81" customWidth="1"/>
    <col min="2" max="3" width="11.88671875" style="81" customWidth="1"/>
    <col min="4" max="4" width="9.109375" style="81"/>
    <col min="5" max="5" width="13.6640625" style="81" customWidth="1"/>
    <col min="6" max="6" width="9.109375" style="81"/>
    <col min="7" max="7" width="12.6640625" style="81" customWidth="1"/>
    <col min="8" max="16384" width="9.109375" style="81"/>
  </cols>
  <sheetData>
    <row r="1" spans="1:9" ht="17.399999999999999">
      <c r="A1" s="80" t="s">
        <v>211</v>
      </c>
    </row>
    <row r="2" spans="1:9" ht="17.399999999999999">
      <c r="A2" s="80"/>
    </row>
    <row r="3" spans="1:9">
      <c r="A3" s="81" t="s">
        <v>464</v>
      </c>
      <c r="B3" s="81">
        <f>Summary!G3</f>
        <v>0</v>
      </c>
    </row>
    <row r="4" spans="1:9">
      <c r="A4" s="123" t="s">
        <v>463</v>
      </c>
      <c r="B4" s="158">
        <f>Summary!G4</f>
        <v>0</v>
      </c>
    </row>
    <row r="5" spans="1:9" ht="15.6">
      <c r="A5" s="82"/>
    </row>
    <row r="6" spans="1:9" ht="16.2" thickBot="1">
      <c r="A6" s="866" t="s">
        <v>837</v>
      </c>
      <c r="B6" s="866"/>
    </row>
    <row r="7" spans="1:9" ht="13.8" thickBot="1">
      <c r="A7" s="15" t="s">
        <v>836</v>
      </c>
      <c r="B7" s="84" t="s">
        <v>2</v>
      </c>
    </row>
    <row r="8" spans="1:9">
      <c r="A8" s="15" t="s">
        <v>835</v>
      </c>
      <c r="B8" s="85" t="str">
        <f>IF(B7="YES","NO","YES")</f>
        <v>NO</v>
      </c>
    </row>
    <row r="9" spans="1:9" ht="13.8" thickBot="1"/>
    <row r="10" spans="1:9" ht="13.8" thickBot="1">
      <c r="A10" s="12" t="s">
        <v>38</v>
      </c>
      <c r="B10" s="13"/>
      <c r="D10" s="864">
        <f>Summary!C1</f>
        <v>0</v>
      </c>
      <c r="E10" s="865"/>
    </row>
    <row r="11" spans="1:9" ht="13.8" thickBot="1">
      <c r="A11" s="12" t="s">
        <v>39</v>
      </c>
      <c r="B11" s="13"/>
      <c r="D11" s="864">
        <f>Summary!C2</f>
        <v>0</v>
      </c>
      <c r="E11" s="865"/>
    </row>
    <row r="12" spans="1:9" ht="13.8" thickBot="1">
      <c r="A12" s="12" t="s">
        <v>40</v>
      </c>
      <c r="B12" s="13"/>
      <c r="D12" s="864">
        <f>Summary!C3</f>
        <v>0</v>
      </c>
      <c r="E12" s="865"/>
    </row>
    <row r="13" spans="1:9" ht="13.8" thickBot="1">
      <c r="A13" s="12" t="s">
        <v>41</v>
      </c>
      <c r="B13" s="13"/>
      <c r="D13" s="864">
        <f>Summary!C4</f>
        <v>0</v>
      </c>
      <c r="E13" s="865"/>
      <c r="G13" s="86"/>
      <c r="H13" s="86"/>
      <c r="I13" s="86"/>
    </row>
    <row r="15" spans="1:9">
      <c r="B15" s="81" t="s">
        <v>212</v>
      </c>
      <c r="E15" s="81" t="s">
        <v>213</v>
      </c>
      <c r="G15" s="81" t="s">
        <v>214</v>
      </c>
    </row>
    <row r="16" spans="1:9">
      <c r="B16" s="85" t="s">
        <v>215</v>
      </c>
      <c r="D16" s="85"/>
      <c r="E16" s="85" t="s">
        <v>216</v>
      </c>
    </row>
    <row r="17" spans="1:7">
      <c r="B17" s="85"/>
      <c r="D17" s="85"/>
      <c r="E17" s="85"/>
    </row>
    <row r="18" spans="1:7">
      <c r="A18" s="81" t="s">
        <v>217</v>
      </c>
      <c r="B18" s="87">
        <f>Summary!I13</f>
        <v>0</v>
      </c>
      <c r="D18" s="88"/>
      <c r="E18" s="87">
        <f>Summary!E25</f>
        <v>0</v>
      </c>
      <c r="F18" s="88"/>
      <c r="G18" s="89">
        <f>IF(B7="YES",E18-B18,B18-E18)</f>
        <v>0</v>
      </c>
    </row>
    <row r="19" spans="1:7">
      <c r="B19" s="88"/>
      <c r="D19" s="88"/>
      <c r="E19" s="88"/>
      <c r="F19" s="88"/>
      <c r="G19" s="88"/>
    </row>
    <row r="20" spans="1:7" ht="27" thickBot="1">
      <c r="A20" s="81" t="s">
        <v>218</v>
      </c>
      <c r="B20" s="221" t="s">
        <v>601</v>
      </c>
      <c r="C20" s="221" t="s">
        <v>602</v>
      </c>
      <c r="D20" s="88"/>
      <c r="E20" s="88"/>
      <c r="F20" s="88"/>
      <c r="G20" s="221" t="s">
        <v>601</v>
      </c>
    </row>
    <row r="21" spans="1:7" ht="14.4" thickTop="1" thickBot="1">
      <c r="A21" s="81" t="s">
        <v>219</v>
      </c>
      <c r="B21" s="19"/>
      <c r="C21" s="182"/>
      <c r="D21" s="88"/>
      <c r="E21" s="87">
        <f>Summary!E64+Summary!E65+Summary!E66+Summary!E67+Summary!E68</f>
        <v>0</v>
      </c>
      <c r="F21" s="88"/>
      <c r="G21" s="89">
        <f>IF($B$7="YES",IF((B21-E21)&gt;0,B21-E21,0),IF((E21-B21)&gt;0,0,E21-B21))</f>
        <v>0</v>
      </c>
    </row>
    <row r="22" spans="1:7" ht="14.4" thickTop="1" thickBot="1">
      <c r="A22" s="81" t="s">
        <v>220</v>
      </c>
      <c r="B22" s="19"/>
      <c r="C22" s="182"/>
      <c r="D22" s="88"/>
      <c r="E22" s="87">
        <f>Summary!E45+Summary!E46+Summary!E47+Summary!E48</f>
        <v>0</v>
      </c>
      <c r="F22" s="88"/>
      <c r="G22" s="89">
        <f>IF($B$7="YES",IF((B22-E22)&gt;0,B22-E22,0),IF((E22-B22)&gt;0,0,E22-B22))</f>
        <v>0</v>
      </c>
    </row>
    <row r="23" spans="1:7" ht="14.4" thickTop="1" thickBot="1">
      <c r="A23" s="81" t="s">
        <v>171</v>
      </c>
      <c r="B23" s="19"/>
      <c r="C23" s="182"/>
      <c r="D23" s="88"/>
      <c r="E23" s="87">
        <f>Summary!E94</f>
        <v>0</v>
      </c>
      <c r="F23" s="88"/>
      <c r="G23" s="89">
        <f>IF($B$7="YES",IF((B23-E23)&gt;0,B23-E23,0),IF((E23-B23)&gt;0,0,E23-B23))</f>
        <v>0</v>
      </c>
    </row>
    <row r="24" spans="1:7" ht="14.4" thickTop="1" thickBot="1">
      <c r="A24" s="81" t="s">
        <v>221</v>
      </c>
      <c r="B24" s="19"/>
      <c r="C24" s="182"/>
      <c r="D24" s="88"/>
      <c r="E24" s="87">
        <f>Summary!E87+Summary!E88</f>
        <v>0</v>
      </c>
      <c r="F24" s="88"/>
      <c r="G24" s="89">
        <f>IF($B$7="YES",IF((B24-E24)&gt;0,B24-E24,0),IF((E24-B24)&gt;0,0,E24-B24))</f>
        <v>0</v>
      </c>
    </row>
    <row r="25" spans="1:7" ht="13.8" thickTop="1">
      <c r="B25" s="88"/>
      <c r="D25" s="88"/>
      <c r="E25" s="88"/>
      <c r="F25" s="88"/>
      <c r="G25" s="88"/>
    </row>
    <row r="26" spans="1:7" ht="21">
      <c r="B26" s="83" t="str">
        <f>IF(B7="YES","TOTAL SUITABILITY NEED (GROSS SF)","EXCESS GROSS SF IN EXISTING SCHOOL")</f>
        <v>TOTAL SUITABILITY NEED (GROSS SF)</v>
      </c>
      <c r="D26" s="88"/>
      <c r="E26" s="88"/>
      <c r="F26" s="88"/>
      <c r="G26" s="90">
        <f>IF(SUM(G18:G25)&lt;0,0,SUM(G18:G25))</f>
        <v>0</v>
      </c>
    </row>
    <row r="27" spans="1:7">
      <c r="B27" s="83" t="str">
        <f>IF(B7="YES","FOR STATE FINANCIAL PARTICIPATION"," ")</f>
        <v>FOR STATE FINANCIAL PARTICIPATION</v>
      </c>
    </row>
    <row r="29" spans="1:7">
      <c r="A29" s="81" t="s">
        <v>222</v>
      </c>
      <c r="B29" s="91"/>
      <c r="E29" s="81" t="s">
        <v>223</v>
      </c>
    </row>
    <row r="30" spans="1:7">
      <c r="B30" s="92"/>
      <c r="E30" s="81" t="s">
        <v>224</v>
      </c>
    </row>
    <row r="31" spans="1:7">
      <c r="B31" s="93"/>
      <c r="E31" s="81" t="s">
        <v>225</v>
      </c>
    </row>
    <row r="32" spans="1:7">
      <c r="B32" s="94"/>
      <c r="E32" s="81" t="s">
        <v>226</v>
      </c>
    </row>
  </sheetData>
  <sheetProtection password="F70F" sheet="1" selectLockedCells="1"/>
  <mergeCells count="5">
    <mergeCell ref="D10:E10"/>
    <mergeCell ref="D11:E11"/>
    <mergeCell ref="D12:E12"/>
    <mergeCell ref="D13:E13"/>
    <mergeCell ref="A6:B6"/>
  </mergeCells>
  <phoneticPr fontId="3" type="noConversion"/>
  <dataValidations count="1">
    <dataValidation type="list" allowBlank="1" showInputMessage="1" showErrorMessage="1" sqref="B7" xr:uid="{00000000-0002-0000-0300-000000000000}">
      <formula1>"YES, NO"</formula1>
    </dataValidation>
  </dataValidations>
  <printOptions horizontalCentered="1" gridLines="1"/>
  <pageMargins left="1" right="0.75" top="1.26" bottom="1" header="0.5" footer="0.5"/>
  <pageSetup orientation="landscape" r:id="rId1"/>
  <headerFooter alignWithMargins="0">
    <oddHeader xml:space="preserve">&amp;C&amp;14 &amp;18SUITABILITY ANALYSIS &amp;14
</oddHeader>
    <oddFooter>&amp;LPrinted &amp;D at &amp;T&amp;C 5600 - 3&amp;RForm Revised 11/18/21   February 3, 2022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pageSetUpPr fitToPage="1"/>
  </sheetPr>
  <dimension ref="A1:P159"/>
  <sheetViews>
    <sheetView topLeftCell="A124" zoomScale="145" zoomScaleNormal="145" workbookViewId="0">
      <selection activeCell="D140" sqref="D140"/>
    </sheetView>
  </sheetViews>
  <sheetFormatPr defaultColWidth="9.109375" defaultRowHeight="13.2"/>
  <cols>
    <col min="1" max="1" width="12.33203125" style="14" customWidth="1"/>
    <col min="2" max="2" width="28.44140625" style="14" customWidth="1"/>
    <col min="3" max="3" width="12.109375" style="14" customWidth="1"/>
    <col min="4" max="4" width="12.5546875" style="121" customWidth="1"/>
    <col min="5" max="5" width="12.109375" style="14" customWidth="1"/>
    <col min="6" max="7" width="9.109375" style="14"/>
    <col min="8" max="8" width="10.33203125" style="14" customWidth="1"/>
    <col min="9" max="9" width="10.6640625" style="14" customWidth="1"/>
    <col min="10" max="10" width="9.88671875" style="14" customWidth="1"/>
    <col min="11" max="16384" width="9.109375" style="14"/>
  </cols>
  <sheetData>
    <row r="1" spans="1:16" ht="13.8" thickBot="1">
      <c r="A1" s="12" t="s">
        <v>38</v>
      </c>
      <c r="B1" s="13"/>
      <c r="C1" s="867">
        <f>Summary!C1</f>
        <v>0</v>
      </c>
      <c r="D1" s="868"/>
    </row>
    <row r="2" spans="1:16" ht="13.8" thickBot="1">
      <c r="A2" s="12" t="s">
        <v>39</v>
      </c>
      <c r="B2" s="13"/>
      <c r="C2" s="867">
        <f>Summary!C2</f>
        <v>0</v>
      </c>
      <c r="D2" s="868"/>
    </row>
    <row r="3" spans="1:16" ht="13.8" thickBot="1">
      <c r="A3" s="12" t="s">
        <v>40</v>
      </c>
      <c r="B3" s="13"/>
      <c r="C3" s="867">
        <f>Summary!C3</f>
        <v>0</v>
      </c>
      <c r="D3" s="868"/>
    </row>
    <row r="4" spans="1:16" ht="13.8" thickBot="1">
      <c r="A4" s="12" t="s">
        <v>41</v>
      </c>
      <c r="B4" s="13"/>
      <c r="C4" s="867">
        <f>Summary!C4</f>
        <v>0</v>
      </c>
      <c r="D4" s="868"/>
    </row>
    <row r="5" spans="1:16" ht="13.8" thickBot="1">
      <c r="B5" s="15" t="s">
        <v>227</v>
      </c>
      <c r="D5" s="14"/>
      <c r="G5" s="13"/>
      <c r="H5" s="13"/>
      <c r="I5" s="13"/>
      <c r="J5" s="13"/>
      <c r="K5" s="13"/>
      <c r="L5" s="13"/>
      <c r="M5" s="13"/>
      <c r="N5" s="13"/>
      <c r="O5" s="13"/>
      <c r="P5" s="13"/>
    </row>
    <row r="6" spans="1:16" ht="27" thickBot="1">
      <c r="B6" s="95" t="s">
        <v>228</v>
      </c>
      <c r="C6" s="96" t="s">
        <v>229</v>
      </c>
      <c r="D6" s="222" t="s">
        <v>71</v>
      </c>
      <c r="E6" s="223" t="s">
        <v>72</v>
      </c>
    </row>
    <row r="7" spans="1:16">
      <c r="A7" s="97"/>
      <c r="B7" s="40" t="s">
        <v>16</v>
      </c>
      <c r="D7" s="14"/>
      <c r="G7" s="13"/>
      <c r="H7" s="13"/>
      <c r="I7" s="13"/>
      <c r="J7" s="13"/>
      <c r="K7" s="13"/>
      <c r="L7" s="13"/>
      <c r="M7" s="13"/>
      <c r="N7" s="13"/>
      <c r="O7" s="13"/>
    </row>
    <row r="8" spans="1:16">
      <c r="A8" s="98" t="s">
        <v>230</v>
      </c>
      <c r="B8" s="99" t="s">
        <v>231</v>
      </c>
      <c r="C8" s="262">
        <f>IF(Summary!D12&lt;550,150,250)</f>
        <v>150</v>
      </c>
      <c r="D8" s="100"/>
      <c r="E8" s="269"/>
      <c r="G8" s="13"/>
      <c r="H8" s="13"/>
      <c r="I8" s="13"/>
      <c r="J8" s="13"/>
      <c r="K8" s="13"/>
      <c r="L8" s="13"/>
      <c r="M8" s="13"/>
      <c r="N8" s="13"/>
      <c r="O8" s="13"/>
    </row>
    <row r="9" spans="1:16">
      <c r="A9" s="46" t="s">
        <v>232</v>
      </c>
      <c r="B9" s="47" t="s">
        <v>233</v>
      </c>
      <c r="C9" s="263">
        <v>50</v>
      </c>
      <c r="D9" s="100"/>
      <c r="E9" s="101"/>
      <c r="G9" s="13"/>
      <c r="H9" s="13"/>
      <c r="I9" s="13"/>
      <c r="J9" s="13"/>
      <c r="K9" s="13"/>
      <c r="L9" s="13"/>
      <c r="M9" s="13"/>
      <c r="N9" s="13"/>
      <c r="O9" s="13"/>
    </row>
    <row r="10" spans="1:16">
      <c r="A10" s="46" t="s">
        <v>234</v>
      </c>
      <c r="B10" s="47" t="s">
        <v>235</v>
      </c>
      <c r="C10" s="264">
        <f>IF(Summary!D12&lt;550,100,IF(Summary!D12&gt;699,150,120))</f>
        <v>100</v>
      </c>
      <c r="D10" s="100"/>
      <c r="E10" s="101"/>
      <c r="G10" s="13"/>
      <c r="H10" s="13"/>
      <c r="I10" s="13"/>
      <c r="J10" s="13"/>
      <c r="K10" s="13"/>
      <c r="L10" s="13"/>
      <c r="M10" s="13"/>
      <c r="N10" s="13"/>
      <c r="O10" s="13"/>
    </row>
    <row r="11" spans="1:16">
      <c r="A11" s="46" t="s">
        <v>236</v>
      </c>
      <c r="B11" s="47" t="s">
        <v>237</v>
      </c>
      <c r="C11" s="263">
        <v>850</v>
      </c>
      <c r="D11" s="100"/>
      <c r="E11" s="101"/>
      <c r="G11" s="161"/>
      <c r="H11" s="13"/>
      <c r="I11" s="13"/>
      <c r="J11" s="13"/>
      <c r="K11" s="13"/>
      <c r="L11" s="13"/>
      <c r="M11" s="13"/>
      <c r="N11" s="13"/>
      <c r="O11" s="13"/>
    </row>
    <row r="12" spans="1:16">
      <c r="A12" s="54" t="s">
        <v>238</v>
      </c>
      <c r="B12" s="55" t="s">
        <v>239</v>
      </c>
      <c r="C12" s="265">
        <v>100</v>
      </c>
      <c r="D12" s="100"/>
      <c r="E12" s="101"/>
      <c r="G12" s="13"/>
      <c r="H12" s="13"/>
      <c r="I12" s="13"/>
      <c r="J12" s="13"/>
      <c r="K12" s="13"/>
      <c r="L12" s="13"/>
      <c r="M12" s="13"/>
      <c r="N12" s="13"/>
      <c r="O12" s="13"/>
    </row>
    <row r="13" spans="1:16">
      <c r="A13" s="54" t="s">
        <v>240</v>
      </c>
      <c r="B13" s="55" t="s">
        <v>241</v>
      </c>
      <c r="C13" s="264">
        <v>100</v>
      </c>
      <c r="D13" s="100"/>
      <c r="E13" s="101"/>
      <c r="G13" s="13"/>
      <c r="H13" s="13"/>
      <c r="I13" s="13"/>
      <c r="J13" s="13"/>
      <c r="K13" s="13"/>
      <c r="L13" s="13"/>
      <c r="M13" s="13"/>
      <c r="N13" s="13"/>
      <c r="O13" s="13"/>
    </row>
    <row r="14" spans="1:16">
      <c r="A14" s="54" t="s">
        <v>242</v>
      </c>
      <c r="B14" s="55" t="s">
        <v>243</v>
      </c>
      <c r="C14" s="264">
        <v>50</v>
      </c>
      <c r="D14" s="100"/>
      <c r="E14" s="101"/>
      <c r="G14" s="13"/>
      <c r="H14" s="13"/>
      <c r="I14" s="13"/>
      <c r="J14" s="13"/>
      <c r="K14" s="13"/>
      <c r="L14" s="13"/>
      <c r="M14" s="13"/>
      <c r="N14" s="13"/>
      <c r="O14" s="13"/>
    </row>
    <row r="15" spans="1:16">
      <c r="A15" s="54" t="s">
        <v>244</v>
      </c>
      <c r="B15" s="55" t="s">
        <v>245</v>
      </c>
      <c r="C15" s="265">
        <v>200</v>
      </c>
      <c r="D15" s="100"/>
      <c r="E15" s="101"/>
      <c r="G15" s="13"/>
      <c r="H15" s="13"/>
      <c r="I15" s="13"/>
      <c r="J15" s="13"/>
      <c r="K15" s="13"/>
      <c r="L15" s="13"/>
      <c r="M15" s="13"/>
      <c r="N15" s="13"/>
      <c r="O15" s="13"/>
    </row>
    <row r="16" spans="1:16">
      <c r="A16" s="46" t="s">
        <v>246</v>
      </c>
      <c r="B16" s="47" t="s">
        <v>247</v>
      </c>
      <c r="C16" s="263">
        <v>100</v>
      </c>
      <c r="D16" s="100"/>
      <c r="E16" s="101"/>
      <c r="G16" s="13"/>
      <c r="H16" s="13"/>
      <c r="I16" s="13"/>
      <c r="J16" s="13"/>
      <c r="K16" s="13"/>
      <c r="L16" s="13"/>
      <c r="M16" s="13"/>
      <c r="N16" s="13"/>
      <c r="O16" s="13"/>
    </row>
    <row r="17" spans="1:15">
      <c r="A17" s="54" t="s">
        <v>248</v>
      </c>
      <c r="B17" s="55" t="s">
        <v>249</v>
      </c>
      <c r="C17" s="264">
        <v>100</v>
      </c>
      <c r="D17" s="100"/>
      <c r="E17" s="101"/>
      <c r="G17" s="13"/>
      <c r="H17" s="13"/>
      <c r="I17" s="13"/>
      <c r="J17" s="13"/>
      <c r="K17" s="13"/>
      <c r="L17" s="13"/>
      <c r="M17" s="13"/>
      <c r="N17" s="13"/>
      <c r="O17" s="13"/>
    </row>
    <row r="18" spans="1:15">
      <c r="A18" s="43" t="s">
        <v>250</v>
      </c>
      <c r="B18" s="54" t="s">
        <v>103</v>
      </c>
      <c r="C18" s="264">
        <v>1100</v>
      </c>
      <c r="D18" s="103"/>
      <c r="E18" s="101"/>
      <c r="G18" s="13"/>
      <c r="H18" s="13"/>
      <c r="I18" s="13"/>
      <c r="J18" s="13"/>
      <c r="K18" s="13"/>
      <c r="L18" s="13"/>
      <c r="M18" s="13"/>
      <c r="N18" s="13"/>
      <c r="O18" s="13"/>
    </row>
    <row r="19" spans="1:15">
      <c r="A19" s="43" t="s">
        <v>251</v>
      </c>
      <c r="B19" s="54" t="s">
        <v>231</v>
      </c>
      <c r="C19" s="264">
        <v>200</v>
      </c>
      <c r="D19" s="103"/>
      <c r="E19" s="101"/>
      <c r="G19" s="13"/>
      <c r="H19" s="13"/>
      <c r="I19" s="13"/>
      <c r="J19" s="13"/>
      <c r="K19" s="13"/>
      <c r="L19" s="13"/>
      <c r="M19" s="13"/>
      <c r="N19" s="13"/>
      <c r="O19" s="13"/>
    </row>
    <row r="20" spans="1:15">
      <c r="A20" s="43" t="s">
        <v>252</v>
      </c>
      <c r="B20" s="54" t="s">
        <v>233</v>
      </c>
      <c r="C20" s="264">
        <v>50</v>
      </c>
      <c r="D20" s="103"/>
      <c r="E20" s="101"/>
      <c r="G20" s="13"/>
      <c r="H20" s="13"/>
      <c r="I20" s="13"/>
      <c r="J20" s="13"/>
      <c r="K20" s="13"/>
      <c r="L20" s="13"/>
      <c r="M20" s="13"/>
      <c r="N20" s="13"/>
      <c r="O20" s="13"/>
    </row>
    <row r="21" spans="1:15">
      <c r="A21" s="43" t="s">
        <v>253</v>
      </c>
      <c r="B21" s="54" t="s">
        <v>235</v>
      </c>
      <c r="C21" s="264">
        <v>120</v>
      </c>
      <c r="D21" s="103"/>
      <c r="E21" s="101"/>
      <c r="G21" s="13"/>
      <c r="H21" s="13"/>
      <c r="I21" s="13"/>
      <c r="J21" s="13"/>
      <c r="K21" s="13"/>
      <c r="L21" s="13"/>
      <c r="M21" s="13"/>
      <c r="N21" s="13"/>
      <c r="O21" s="13"/>
    </row>
    <row r="22" spans="1:15">
      <c r="A22" s="43" t="s">
        <v>254</v>
      </c>
      <c r="B22" s="54" t="s">
        <v>255</v>
      </c>
      <c r="C22" s="264">
        <v>150</v>
      </c>
      <c r="D22" s="103"/>
      <c r="E22" s="101"/>
      <c r="G22" s="13"/>
      <c r="H22" s="13"/>
      <c r="I22" s="13"/>
      <c r="J22" s="13"/>
      <c r="K22" s="13"/>
      <c r="L22" s="13"/>
      <c r="M22" s="13"/>
      <c r="N22" s="13"/>
      <c r="O22" s="13"/>
    </row>
    <row r="23" spans="1:15">
      <c r="A23" s="43" t="s">
        <v>256</v>
      </c>
      <c r="B23" s="54" t="s">
        <v>257</v>
      </c>
      <c r="C23" s="264">
        <v>850</v>
      </c>
      <c r="D23" s="103"/>
      <c r="E23" s="101"/>
      <c r="G23" s="13"/>
      <c r="H23" s="13"/>
      <c r="I23" s="13"/>
      <c r="J23" s="13"/>
      <c r="K23" s="13"/>
      <c r="L23" s="13"/>
      <c r="M23" s="13"/>
      <c r="N23" s="13"/>
      <c r="O23" s="13"/>
    </row>
    <row r="24" spans="1:15">
      <c r="A24" s="43" t="s">
        <v>258</v>
      </c>
      <c r="B24" s="54" t="s">
        <v>239</v>
      </c>
      <c r="C24" s="264">
        <v>120</v>
      </c>
      <c r="D24" s="103"/>
      <c r="E24" s="101"/>
      <c r="G24" s="13"/>
      <c r="H24" s="13"/>
      <c r="I24" s="13"/>
      <c r="J24" s="13"/>
      <c r="K24" s="13"/>
      <c r="L24" s="13"/>
      <c r="M24" s="13"/>
      <c r="N24" s="13"/>
      <c r="O24" s="13"/>
    </row>
    <row r="25" spans="1:15">
      <c r="A25" s="43" t="s">
        <v>259</v>
      </c>
      <c r="B25" s="54" t="s">
        <v>241</v>
      </c>
      <c r="C25" s="264">
        <v>150</v>
      </c>
      <c r="D25" s="103"/>
      <c r="E25" s="101"/>
      <c r="G25" s="13"/>
      <c r="H25" s="13"/>
      <c r="I25" s="13"/>
      <c r="J25" s="13"/>
      <c r="K25" s="13"/>
      <c r="L25" s="13"/>
      <c r="M25" s="13"/>
      <c r="N25" s="13"/>
      <c r="O25" s="13"/>
    </row>
    <row r="26" spans="1:15">
      <c r="A26" s="43" t="s">
        <v>260</v>
      </c>
      <c r="B26" s="54" t="s">
        <v>261</v>
      </c>
      <c r="C26" s="264">
        <v>80</v>
      </c>
      <c r="D26" s="103"/>
      <c r="E26" s="101"/>
      <c r="G26" s="13"/>
      <c r="H26" s="13"/>
      <c r="I26" s="13"/>
      <c r="J26" s="13"/>
      <c r="K26" s="13"/>
      <c r="L26" s="13"/>
      <c r="M26" s="13"/>
      <c r="N26" s="13"/>
      <c r="O26" s="13"/>
    </row>
    <row r="27" spans="1:15">
      <c r="A27" s="43" t="s">
        <v>262</v>
      </c>
      <c r="B27" s="54" t="s">
        <v>263</v>
      </c>
      <c r="C27" s="264">
        <v>150</v>
      </c>
      <c r="D27" s="103"/>
      <c r="E27" s="101"/>
      <c r="G27" s="13"/>
      <c r="H27" s="13"/>
      <c r="I27" s="13"/>
      <c r="J27" s="13"/>
      <c r="K27" s="13"/>
      <c r="L27" s="13"/>
      <c r="M27" s="13"/>
      <c r="N27" s="13"/>
      <c r="O27" s="13"/>
    </row>
    <row r="28" spans="1:15">
      <c r="A28" s="43" t="s">
        <v>264</v>
      </c>
      <c r="B28" s="54" t="s">
        <v>265</v>
      </c>
      <c r="C28" s="264">
        <v>300</v>
      </c>
      <c r="D28" s="103"/>
      <c r="E28" s="101"/>
      <c r="G28" s="13"/>
      <c r="H28" s="13"/>
      <c r="I28" s="13"/>
      <c r="J28" s="13"/>
      <c r="K28" s="13"/>
      <c r="L28" s="13"/>
      <c r="M28" s="13"/>
      <c r="N28" s="13"/>
      <c r="O28" s="13"/>
    </row>
    <row r="29" spans="1:15">
      <c r="A29" s="43" t="s">
        <v>266</v>
      </c>
      <c r="B29" s="54" t="s">
        <v>247</v>
      </c>
      <c r="C29" s="264">
        <v>100</v>
      </c>
      <c r="D29" s="103"/>
      <c r="E29" s="101"/>
      <c r="G29" s="13"/>
      <c r="H29" s="13"/>
      <c r="I29" s="13"/>
      <c r="J29" s="13"/>
      <c r="K29" s="13"/>
      <c r="L29" s="13"/>
      <c r="M29" s="13"/>
      <c r="N29" s="13"/>
      <c r="O29" s="13"/>
    </row>
    <row r="30" spans="1:15">
      <c r="A30" s="43" t="s">
        <v>267</v>
      </c>
      <c r="B30" s="54" t="s">
        <v>268</v>
      </c>
      <c r="C30" s="264">
        <v>120</v>
      </c>
      <c r="D30" s="103"/>
      <c r="E30" s="101"/>
      <c r="G30" s="13"/>
      <c r="H30" s="13"/>
      <c r="I30" s="13"/>
      <c r="J30" s="13"/>
      <c r="K30" s="13"/>
      <c r="L30" s="13"/>
      <c r="M30" s="13"/>
      <c r="N30" s="13"/>
      <c r="O30" s="13"/>
    </row>
    <row r="31" spans="1:15">
      <c r="A31" s="43" t="s">
        <v>269</v>
      </c>
      <c r="B31" s="54" t="s">
        <v>270</v>
      </c>
      <c r="C31" s="264">
        <v>120</v>
      </c>
      <c r="D31" s="103"/>
      <c r="E31" s="101"/>
      <c r="G31" s="13"/>
      <c r="H31" s="13"/>
      <c r="I31" s="13"/>
      <c r="J31" s="13"/>
      <c r="K31" s="13"/>
      <c r="L31" s="13"/>
      <c r="M31" s="13"/>
      <c r="N31" s="13"/>
      <c r="O31" s="13"/>
    </row>
    <row r="32" spans="1:15">
      <c r="A32" s="208" t="s">
        <v>608</v>
      </c>
      <c r="B32" s="46" t="s">
        <v>610</v>
      </c>
      <c r="C32" s="264">
        <v>1300</v>
      </c>
      <c r="D32" s="103"/>
      <c r="E32" s="101"/>
      <c r="G32" s="13"/>
      <c r="H32" s="13"/>
      <c r="I32" s="13"/>
      <c r="J32" s="13"/>
      <c r="K32" s="13"/>
      <c r="L32" s="13"/>
      <c r="M32" s="13"/>
      <c r="N32" s="13"/>
      <c r="O32" s="13"/>
    </row>
    <row r="33" spans="1:15">
      <c r="A33" s="208" t="s">
        <v>609</v>
      </c>
      <c r="B33" s="46" t="s">
        <v>611</v>
      </c>
      <c r="C33" s="264">
        <v>150</v>
      </c>
      <c r="D33" s="103"/>
      <c r="E33" s="101"/>
      <c r="G33" s="13"/>
      <c r="H33" s="13"/>
      <c r="I33" s="13"/>
      <c r="J33" s="13"/>
      <c r="K33" s="13"/>
      <c r="L33" s="13"/>
      <c r="M33" s="13"/>
      <c r="N33" s="13"/>
      <c r="O33" s="13"/>
    </row>
    <row r="34" spans="1:15">
      <c r="A34" s="43" t="s">
        <v>271</v>
      </c>
      <c r="B34" s="54" t="s">
        <v>272</v>
      </c>
      <c r="C34" s="264">
        <v>1100</v>
      </c>
      <c r="D34" s="103"/>
      <c r="E34" s="101"/>
      <c r="G34" s="13"/>
      <c r="H34" s="13"/>
      <c r="I34" s="13"/>
      <c r="J34" s="13"/>
      <c r="K34" s="13"/>
      <c r="L34" s="13"/>
      <c r="M34" s="13"/>
      <c r="N34" s="13"/>
      <c r="O34" s="13"/>
    </row>
    <row r="35" spans="1:15">
      <c r="A35" s="43" t="s">
        <v>273</v>
      </c>
      <c r="B35" s="54" t="s">
        <v>274</v>
      </c>
      <c r="C35" s="264">
        <v>100</v>
      </c>
      <c r="D35" s="103"/>
      <c r="E35" s="101"/>
      <c r="G35" s="13"/>
      <c r="H35" s="13"/>
      <c r="I35" s="13"/>
      <c r="J35" s="13"/>
      <c r="K35" s="13"/>
      <c r="L35" s="13"/>
      <c r="M35" s="13"/>
      <c r="N35" s="13"/>
      <c r="O35" s="13"/>
    </row>
    <row r="36" spans="1:15">
      <c r="A36" s="208" t="s">
        <v>275</v>
      </c>
      <c r="B36" s="555" t="s">
        <v>1110</v>
      </c>
      <c r="C36" s="554">
        <v>75</v>
      </c>
      <c r="D36" s="103"/>
      <c r="E36" s="101"/>
      <c r="G36" s="13"/>
      <c r="H36" s="13"/>
      <c r="I36" s="13"/>
      <c r="J36" s="13"/>
      <c r="K36" s="13"/>
      <c r="L36" s="13"/>
      <c r="M36" s="13"/>
      <c r="N36" s="13"/>
      <c r="O36" s="13"/>
    </row>
    <row r="37" spans="1:15">
      <c r="A37" s="43" t="s">
        <v>276</v>
      </c>
      <c r="B37" s="54" t="s">
        <v>277</v>
      </c>
      <c r="C37" s="264">
        <v>75</v>
      </c>
      <c r="D37" s="103"/>
      <c r="E37" s="101"/>
      <c r="G37" s="13"/>
      <c r="H37" s="13"/>
      <c r="I37" s="13"/>
      <c r="J37" s="13"/>
      <c r="K37" s="13"/>
      <c r="L37" s="13"/>
      <c r="M37" s="13"/>
      <c r="N37" s="13"/>
      <c r="O37" s="13"/>
    </row>
    <row r="38" spans="1:15">
      <c r="A38" s="43" t="s">
        <v>278</v>
      </c>
      <c r="B38" s="54" t="s">
        <v>141</v>
      </c>
      <c r="C38" s="264">
        <v>350</v>
      </c>
      <c r="D38" s="103"/>
      <c r="E38" s="101"/>
      <c r="G38" s="13"/>
      <c r="H38" s="13"/>
      <c r="I38" s="13"/>
      <c r="J38" s="13"/>
      <c r="K38" s="13"/>
      <c r="L38" s="13"/>
      <c r="M38" s="13"/>
      <c r="N38" s="13"/>
      <c r="O38" s="13"/>
    </row>
    <row r="39" spans="1:15">
      <c r="A39" s="43" t="s">
        <v>279</v>
      </c>
      <c r="B39" s="54" t="s">
        <v>143</v>
      </c>
      <c r="C39" s="264">
        <v>150</v>
      </c>
      <c r="D39" s="103"/>
      <c r="E39" s="101"/>
      <c r="G39" s="13"/>
      <c r="H39" s="13"/>
      <c r="I39" s="13"/>
      <c r="J39" s="13"/>
      <c r="K39" s="13"/>
      <c r="L39" s="13"/>
      <c r="M39" s="13"/>
      <c r="N39" s="13"/>
      <c r="O39" s="13"/>
    </row>
    <row r="40" spans="1:15">
      <c r="A40" s="43" t="s">
        <v>280</v>
      </c>
      <c r="B40" s="54" t="s">
        <v>281</v>
      </c>
      <c r="C40" s="264">
        <v>200</v>
      </c>
      <c r="D40" s="103"/>
      <c r="E40" s="101"/>
      <c r="G40" s="13"/>
      <c r="H40" s="13"/>
      <c r="I40" s="13"/>
      <c r="J40" s="13"/>
      <c r="K40" s="13"/>
      <c r="L40" s="13"/>
      <c r="M40" s="13"/>
      <c r="N40" s="13"/>
      <c r="O40" s="13"/>
    </row>
    <row r="41" spans="1:15">
      <c r="A41" s="104" t="s">
        <v>282</v>
      </c>
      <c r="B41" s="47" t="s">
        <v>231</v>
      </c>
      <c r="C41" s="266">
        <v>300</v>
      </c>
      <c r="D41" s="105"/>
      <c r="E41" s="101"/>
      <c r="G41" s="13"/>
      <c r="H41" s="13"/>
      <c r="I41" s="13"/>
      <c r="J41" s="13"/>
      <c r="K41" s="13"/>
      <c r="L41" s="13"/>
      <c r="M41" s="13"/>
      <c r="N41" s="13"/>
      <c r="O41" s="13"/>
    </row>
    <row r="42" spans="1:15">
      <c r="A42" s="104" t="s">
        <v>283</v>
      </c>
      <c r="B42" s="47" t="s">
        <v>233</v>
      </c>
      <c r="C42" s="263">
        <v>50</v>
      </c>
      <c r="D42" s="105"/>
      <c r="E42" s="101"/>
      <c r="G42" s="13"/>
      <c r="H42" s="13"/>
      <c r="I42" s="13"/>
      <c r="J42" s="13"/>
      <c r="K42" s="13"/>
      <c r="L42" s="13"/>
      <c r="M42" s="13"/>
      <c r="N42" s="13"/>
      <c r="O42" s="13"/>
    </row>
    <row r="43" spans="1:15">
      <c r="A43" s="104" t="s">
        <v>284</v>
      </c>
      <c r="B43" s="47" t="s">
        <v>255</v>
      </c>
      <c r="C43" s="263">
        <v>150</v>
      </c>
      <c r="D43" s="105"/>
      <c r="E43" s="101"/>
      <c r="G43" s="13"/>
      <c r="H43" s="13"/>
      <c r="I43" s="13"/>
      <c r="J43" s="13"/>
      <c r="K43" s="13"/>
      <c r="L43" s="13"/>
      <c r="M43" s="13"/>
      <c r="N43" s="13"/>
      <c r="O43" s="13"/>
    </row>
    <row r="44" spans="1:15">
      <c r="A44" s="104" t="s">
        <v>285</v>
      </c>
      <c r="B44" s="47" t="s">
        <v>235</v>
      </c>
      <c r="C44" s="266">
        <v>150</v>
      </c>
      <c r="D44" s="105"/>
      <c r="E44" s="101"/>
      <c r="G44" s="13"/>
      <c r="H44" s="13"/>
      <c r="I44" s="13"/>
      <c r="J44" s="13"/>
      <c r="K44" s="13"/>
      <c r="L44" s="13"/>
      <c r="M44" s="13"/>
      <c r="N44" s="13"/>
      <c r="O44" s="13"/>
    </row>
    <row r="45" spans="1:15">
      <c r="A45" s="106" t="s">
        <v>286</v>
      </c>
      <c r="B45" s="107" t="s">
        <v>239</v>
      </c>
      <c r="C45" s="263">
        <v>120</v>
      </c>
      <c r="D45" s="105"/>
      <c r="E45" s="101"/>
      <c r="G45" s="13"/>
      <c r="H45" s="13"/>
      <c r="I45" s="13"/>
      <c r="J45" s="13"/>
      <c r="K45" s="13"/>
      <c r="L45" s="13"/>
      <c r="M45" s="13"/>
      <c r="N45" s="13"/>
      <c r="O45" s="13"/>
    </row>
    <row r="46" spans="1:15">
      <c r="A46" s="106" t="s">
        <v>287</v>
      </c>
      <c r="B46" s="47" t="s">
        <v>288</v>
      </c>
      <c r="C46" s="266">
        <v>150</v>
      </c>
      <c r="D46" s="105"/>
      <c r="E46" s="101"/>
      <c r="G46" s="13"/>
      <c r="H46" s="13"/>
      <c r="I46" s="13"/>
      <c r="J46" s="13"/>
      <c r="K46" s="13"/>
      <c r="L46" s="13"/>
      <c r="M46" s="13"/>
      <c r="N46" s="13"/>
      <c r="O46" s="13"/>
    </row>
    <row r="47" spans="1:15">
      <c r="A47" s="106" t="s">
        <v>289</v>
      </c>
      <c r="B47" s="47" t="s">
        <v>243</v>
      </c>
      <c r="C47" s="266">
        <v>75</v>
      </c>
      <c r="D47" s="105"/>
      <c r="E47" s="101"/>
      <c r="G47" s="13"/>
      <c r="H47" s="13"/>
      <c r="I47" s="13"/>
      <c r="J47" s="13"/>
      <c r="K47" s="13"/>
      <c r="L47" s="13"/>
      <c r="M47" s="13"/>
      <c r="N47" s="13"/>
      <c r="O47" s="13"/>
    </row>
    <row r="48" spans="1:15">
      <c r="A48" s="106" t="s">
        <v>290</v>
      </c>
      <c r="B48" s="47" t="s">
        <v>245</v>
      </c>
      <c r="C48" s="266">
        <v>250</v>
      </c>
      <c r="D48" s="105"/>
      <c r="E48" s="101"/>
      <c r="G48" s="13"/>
      <c r="H48" s="13"/>
      <c r="I48" s="13"/>
      <c r="J48" s="13"/>
      <c r="K48" s="13"/>
      <c r="L48" s="13"/>
      <c r="M48" s="13"/>
      <c r="N48" s="13"/>
      <c r="O48" s="13"/>
    </row>
    <row r="49" spans="1:15">
      <c r="A49" s="106" t="s">
        <v>291</v>
      </c>
      <c r="B49" s="47" t="s">
        <v>265</v>
      </c>
      <c r="C49" s="266">
        <v>400</v>
      </c>
      <c r="D49" s="105"/>
      <c r="E49" s="101"/>
      <c r="G49" s="13"/>
      <c r="H49" s="13"/>
      <c r="I49" s="13"/>
      <c r="J49" s="13"/>
      <c r="K49" s="13"/>
      <c r="L49" s="13"/>
      <c r="M49" s="13"/>
      <c r="N49" s="13"/>
      <c r="O49" s="13"/>
    </row>
    <row r="50" spans="1:15">
      <c r="A50" s="106" t="s">
        <v>292</v>
      </c>
      <c r="B50" s="47" t="s">
        <v>293</v>
      </c>
      <c r="C50" s="266">
        <v>60</v>
      </c>
      <c r="D50" s="105"/>
      <c r="E50" s="101"/>
      <c r="G50" s="13"/>
      <c r="H50" s="13"/>
      <c r="I50" s="13"/>
      <c r="J50" s="13"/>
      <c r="K50" s="13"/>
      <c r="L50" s="13"/>
      <c r="M50" s="13"/>
      <c r="N50" s="13"/>
      <c r="O50" s="13"/>
    </row>
    <row r="51" spans="1:15">
      <c r="A51" s="106" t="s">
        <v>294</v>
      </c>
      <c r="B51" s="107" t="s">
        <v>247</v>
      </c>
      <c r="C51" s="266">
        <v>100</v>
      </c>
      <c r="D51" s="105"/>
      <c r="E51" s="101"/>
      <c r="G51" s="13"/>
      <c r="H51" s="13"/>
      <c r="I51" s="13"/>
      <c r="J51" s="13"/>
      <c r="K51" s="13"/>
      <c r="L51" s="13"/>
      <c r="M51" s="13"/>
      <c r="N51" s="13"/>
      <c r="O51" s="13"/>
    </row>
    <row r="52" spans="1:15">
      <c r="A52" s="106" t="s">
        <v>295</v>
      </c>
      <c r="B52" s="107" t="s">
        <v>296</v>
      </c>
      <c r="C52" s="266">
        <v>100</v>
      </c>
      <c r="D52" s="105"/>
      <c r="E52" s="101"/>
      <c r="G52" s="13"/>
      <c r="H52" s="13"/>
      <c r="I52" s="13"/>
      <c r="J52" s="13"/>
      <c r="K52" s="13"/>
      <c r="L52" s="13"/>
      <c r="M52" s="13"/>
      <c r="N52" s="13"/>
      <c r="O52" s="13"/>
    </row>
    <row r="53" spans="1:15">
      <c r="A53" s="106" t="s">
        <v>297</v>
      </c>
      <c r="B53" s="107" t="s">
        <v>298</v>
      </c>
      <c r="C53" s="266">
        <v>100</v>
      </c>
      <c r="D53" s="105"/>
      <c r="E53" s="101"/>
      <c r="G53" s="13"/>
      <c r="H53" s="13"/>
      <c r="I53" s="13"/>
      <c r="J53" s="13"/>
      <c r="K53" s="13"/>
      <c r="L53" s="13"/>
      <c r="M53" s="13"/>
      <c r="N53" s="13"/>
      <c r="O53" s="13"/>
    </row>
    <row r="54" spans="1:15">
      <c r="A54" s="106" t="s">
        <v>299</v>
      </c>
      <c r="B54" s="107" t="s">
        <v>300</v>
      </c>
      <c r="C54" s="263">
        <v>120</v>
      </c>
      <c r="D54" s="105"/>
      <c r="E54" s="101"/>
      <c r="G54" s="13"/>
      <c r="H54" s="13"/>
      <c r="I54" s="13"/>
      <c r="J54" s="13"/>
      <c r="K54" s="13"/>
      <c r="L54" s="13"/>
      <c r="M54" s="13"/>
      <c r="N54" s="13"/>
      <c r="O54" s="13"/>
    </row>
    <row r="55" spans="1:15">
      <c r="A55" s="106" t="s">
        <v>301</v>
      </c>
      <c r="B55" s="107" t="s">
        <v>302</v>
      </c>
      <c r="C55" s="263">
        <v>120</v>
      </c>
      <c r="D55" s="105"/>
      <c r="E55" s="101"/>
      <c r="G55" s="13"/>
      <c r="H55" s="13"/>
      <c r="I55" s="13"/>
      <c r="J55" s="13"/>
      <c r="K55" s="13"/>
      <c r="L55" s="13"/>
      <c r="M55" s="13"/>
      <c r="N55" s="13"/>
      <c r="O55" s="13"/>
    </row>
    <row r="56" spans="1:15">
      <c r="A56" s="106" t="s">
        <v>303</v>
      </c>
      <c r="B56" s="107" t="s">
        <v>304</v>
      </c>
      <c r="C56" s="263">
        <v>100</v>
      </c>
      <c r="D56" s="105"/>
      <c r="E56" s="101"/>
      <c r="G56" s="13"/>
      <c r="H56" s="13"/>
      <c r="I56" s="13"/>
      <c r="J56" s="13"/>
      <c r="K56" s="13"/>
      <c r="L56" s="13"/>
      <c r="M56" s="13"/>
      <c r="N56" s="13"/>
      <c r="O56" s="13"/>
    </row>
    <row r="57" spans="1:15">
      <c r="A57" s="106" t="s">
        <v>305</v>
      </c>
      <c r="B57" s="107" t="s">
        <v>306</v>
      </c>
      <c r="C57" s="263">
        <v>120</v>
      </c>
      <c r="D57" s="105"/>
      <c r="E57" s="101"/>
      <c r="G57" s="13"/>
      <c r="H57" s="13"/>
      <c r="I57" s="13"/>
      <c r="J57" s="13"/>
      <c r="K57" s="13"/>
      <c r="L57" s="13"/>
      <c r="M57" s="13"/>
      <c r="N57" s="13"/>
      <c r="O57" s="13"/>
    </row>
    <row r="58" spans="1:15">
      <c r="A58" s="106" t="s">
        <v>307</v>
      </c>
      <c r="B58" s="107" t="s">
        <v>308</v>
      </c>
      <c r="C58" s="263">
        <v>120</v>
      </c>
      <c r="D58" s="105"/>
      <c r="E58" s="101"/>
      <c r="G58" s="13"/>
      <c r="H58" s="13"/>
      <c r="I58" s="13"/>
      <c r="J58" s="13"/>
      <c r="K58" s="13"/>
      <c r="L58" s="13"/>
      <c r="M58" s="13"/>
      <c r="N58" s="13"/>
      <c r="O58" s="13"/>
    </row>
    <row r="59" spans="1:15">
      <c r="A59" s="106" t="s">
        <v>309</v>
      </c>
      <c r="B59" s="107" t="s">
        <v>310</v>
      </c>
      <c r="C59" s="263">
        <v>150</v>
      </c>
      <c r="D59" s="105"/>
      <c r="E59" s="101"/>
      <c r="G59" s="13"/>
      <c r="H59" s="13"/>
      <c r="I59" s="13"/>
      <c r="J59" s="13"/>
      <c r="K59" s="13"/>
      <c r="L59" s="13"/>
      <c r="M59" s="13"/>
      <c r="N59" s="13"/>
      <c r="O59" s="13"/>
    </row>
    <row r="60" spans="1:15">
      <c r="A60" s="106" t="s">
        <v>311</v>
      </c>
      <c r="B60" s="107" t="s">
        <v>312</v>
      </c>
      <c r="C60" s="263">
        <v>80</v>
      </c>
      <c r="D60" s="105"/>
      <c r="E60" s="101"/>
      <c r="G60" s="13"/>
      <c r="H60" s="13"/>
      <c r="I60" s="13"/>
      <c r="J60" s="13"/>
      <c r="K60" s="13"/>
      <c r="L60" s="13"/>
      <c r="M60" s="13"/>
      <c r="N60" s="13"/>
      <c r="O60" s="13"/>
    </row>
    <row r="61" spans="1:15">
      <c r="A61" s="106" t="s">
        <v>313</v>
      </c>
      <c r="B61" s="107" t="s">
        <v>314</v>
      </c>
      <c r="C61" s="263">
        <v>50</v>
      </c>
      <c r="D61" s="105"/>
      <c r="E61" s="101"/>
      <c r="G61" s="13"/>
      <c r="H61" s="13"/>
      <c r="I61" s="13"/>
      <c r="J61" s="13"/>
      <c r="K61" s="13"/>
      <c r="L61" s="13"/>
      <c r="M61" s="13"/>
      <c r="N61" s="13"/>
      <c r="O61" s="13"/>
    </row>
    <row r="62" spans="1:15">
      <c r="A62" s="106" t="s">
        <v>315</v>
      </c>
      <c r="B62" s="47" t="s">
        <v>281</v>
      </c>
      <c r="C62" s="263">
        <v>200</v>
      </c>
      <c r="D62" s="105"/>
      <c r="E62" s="101"/>
      <c r="G62" s="13"/>
      <c r="H62" s="13"/>
      <c r="I62" s="13"/>
      <c r="J62" s="13"/>
      <c r="K62" s="13"/>
      <c r="L62" s="13"/>
      <c r="M62" s="13"/>
      <c r="N62" s="13"/>
      <c r="O62" s="13"/>
    </row>
    <row r="63" spans="1:15">
      <c r="A63" s="106" t="s">
        <v>316</v>
      </c>
      <c r="B63" s="47" t="s">
        <v>1110</v>
      </c>
      <c r="C63" s="263">
        <v>75</v>
      </c>
      <c r="D63" s="105"/>
      <c r="E63" s="101"/>
      <c r="G63" s="13"/>
      <c r="H63" s="13"/>
      <c r="I63" s="13"/>
      <c r="J63" s="13"/>
      <c r="K63" s="13"/>
      <c r="L63" s="13"/>
      <c r="M63" s="13"/>
      <c r="N63" s="13"/>
      <c r="O63" s="13"/>
    </row>
    <row r="64" spans="1:15">
      <c r="A64" s="106" t="s">
        <v>317</v>
      </c>
      <c r="B64" s="47" t="s">
        <v>277</v>
      </c>
      <c r="C64" s="263">
        <v>75</v>
      </c>
      <c r="D64" s="105"/>
      <c r="E64" s="101"/>
      <c r="G64" s="13"/>
      <c r="H64" s="13"/>
      <c r="I64" s="13"/>
      <c r="J64" s="13"/>
      <c r="K64" s="13"/>
      <c r="L64" s="13"/>
      <c r="M64" s="13"/>
      <c r="N64" s="13"/>
      <c r="O64" s="13"/>
    </row>
    <row r="65" spans="1:15">
      <c r="A65" s="106" t="s">
        <v>318</v>
      </c>
      <c r="B65" s="47" t="s">
        <v>319</v>
      </c>
      <c r="C65" s="263">
        <v>100</v>
      </c>
      <c r="D65" s="105"/>
      <c r="E65" s="101"/>
      <c r="G65" s="13"/>
      <c r="H65" s="13"/>
      <c r="I65" s="13"/>
      <c r="J65" s="13"/>
      <c r="K65" s="13"/>
      <c r="L65" s="13"/>
      <c r="M65" s="13"/>
      <c r="N65" s="13"/>
      <c r="O65" s="13"/>
    </row>
    <row r="66" spans="1:15">
      <c r="A66" s="106" t="s">
        <v>320</v>
      </c>
      <c r="B66" s="47" t="s">
        <v>321</v>
      </c>
      <c r="C66" s="263">
        <v>850</v>
      </c>
      <c r="D66" s="105"/>
      <c r="E66" s="101"/>
      <c r="G66" s="13"/>
      <c r="H66" s="13"/>
      <c r="I66" s="13"/>
      <c r="J66" s="13"/>
      <c r="K66" s="13"/>
      <c r="L66" s="13"/>
      <c r="M66" s="13"/>
      <c r="N66" s="13"/>
      <c r="O66" s="13"/>
    </row>
    <row r="67" spans="1:15">
      <c r="A67" s="54"/>
      <c r="B67" s="55"/>
      <c r="C67" s="264"/>
      <c r="D67" s="224"/>
      <c r="E67" s="225"/>
      <c r="G67" s="13"/>
      <c r="H67" s="13"/>
      <c r="I67" s="13"/>
      <c r="J67" s="13"/>
      <c r="K67" s="13"/>
      <c r="L67" s="13"/>
      <c r="M67" s="13"/>
      <c r="N67" s="13"/>
      <c r="O67" s="13"/>
    </row>
    <row r="68" spans="1:15">
      <c r="A68" s="54"/>
      <c r="B68" s="60" t="s">
        <v>17</v>
      </c>
      <c r="C68" s="264"/>
      <c r="D68" s="237"/>
      <c r="E68" s="225"/>
      <c r="G68" s="13"/>
      <c r="H68" s="13"/>
      <c r="I68" s="13"/>
      <c r="J68" s="13"/>
      <c r="K68" s="13"/>
      <c r="L68" s="13"/>
      <c r="M68" s="13"/>
      <c r="N68" s="13"/>
      <c r="O68" s="13"/>
    </row>
    <row r="69" spans="1:15">
      <c r="A69" s="54" t="s">
        <v>322</v>
      </c>
      <c r="B69" s="47" t="s">
        <v>323</v>
      </c>
      <c r="C69" s="264">
        <v>80</v>
      </c>
      <c r="D69" s="100"/>
      <c r="E69" s="101"/>
      <c r="G69" s="13"/>
      <c r="H69" s="13"/>
      <c r="I69" s="13"/>
      <c r="J69" s="13"/>
      <c r="K69" s="13"/>
      <c r="L69" s="13"/>
      <c r="M69" s="13"/>
      <c r="N69" s="13"/>
      <c r="O69" s="13"/>
    </row>
    <row r="70" spans="1:15">
      <c r="A70" s="43" t="s">
        <v>324</v>
      </c>
      <c r="B70" s="54" t="s">
        <v>323</v>
      </c>
      <c r="C70" s="264">
        <v>100</v>
      </c>
      <c r="D70" s="103"/>
      <c r="E70" s="101"/>
      <c r="G70" s="13"/>
      <c r="H70" s="13"/>
      <c r="I70" s="13"/>
      <c r="J70" s="13"/>
      <c r="K70" s="13"/>
      <c r="L70" s="13"/>
      <c r="M70" s="13"/>
      <c r="N70" s="13"/>
      <c r="O70" s="13"/>
    </row>
    <row r="71" spans="1:15">
      <c r="A71" s="108" t="s">
        <v>325</v>
      </c>
      <c r="B71" s="47" t="s">
        <v>323</v>
      </c>
      <c r="C71" s="263">
        <v>100</v>
      </c>
      <c r="D71" s="105"/>
      <c r="E71" s="101"/>
      <c r="G71" s="13"/>
      <c r="H71" s="13"/>
      <c r="I71" s="13"/>
      <c r="J71" s="13"/>
      <c r="K71" s="13"/>
      <c r="L71" s="13"/>
      <c r="M71" s="13"/>
      <c r="N71" s="13"/>
      <c r="O71" s="13"/>
    </row>
    <row r="72" spans="1:15">
      <c r="C72" s="267"/>
      <c r="D72" s="226"/>
      <c r="E72" s="225"/>
      <c r="G72" s="13"/>
      <c r="H72" s="13"/>
      <c r="I72" s="13"/>
      <c r="J72" s="13"/>
      <c r="K72" s="13"/>
      <c r="L72" s="13"/>
      <c r="M72" s="13"/>
      <c r="N72" s="13"/>
      <c r="O72" s="13"/>
    </row>
    <row r="73" spans="1:15">
      <c r="A73" s="54"/>
      <c r="B73" s="60" t="s">
        <v>19</v>
      </c>
      <c r="C73" s="264"/>
      <c r="D73" s="237"/>
      <c r="E73" s="225"/>
      <c r="G73" s="13"/>
      <c r="H73" s="13"/>
      <c r="I73" s="13"/>
      <c r="J73" s="13"/>
      <c r="K73" s="13"/>
      <c r="L73" s="13"/>
      <c r="M73" s="13"/>
      <c r="N73" s="13"/>
      <c r="O73" s="13"/>
    </row>
    <row r="74" spans="1:15">
      <c r="A74" s="54" t="s">
        <v>326</v>
      </c>
      <c r="B74" s="55" t="s">
        <v>327</v>
      </c>
      <c r="C74" s="265">
        <v>150</v>
      </c>
      <c r="D74" s="110"/>
      <c r="E74" s="101"/>
      <c r="G74" s="13"/>
      <c r="H74" s="13"/>
      <c r="I74" s="13"/>
      <c r="J74" s="13"/>
      <c r="K74" s="13"/>
      <c r="L74" s="13"/>
      <c r="M74" s="13"/>
      <c r="N74" s="13"/>
      <c r="O74" s="13"/>
    </row>
    <row r="75" spans="1:15">
      <c r="A75" s="54" t="s">
        <v>328</v>
      </c>
      <c r="B75" s="55" t="s">
        <v>329</v>
      </c>
      <c r="C75" s="265">
        <v>150</v>
      </c>
      <c r="D75" s="110"/>
      <c r="E75" s="101"/>
      <c r="G75" s="13"/>
      <c r="H75" s="13"/>
      <c r="I75" s="13"/>
      <c r="J75" s="13"/>
      <c r="K75" s="13"/>
      <c r="L75" s="13"/>
      <c r="M75" s="13"/>
      <c r="N75" s="13"/>
      <c r="O75" s="13"/>
    </row>
    <row r="76" spans="1:15">
      <c r="A76" s="54" t="s">
        <v>330</v>
      </c>
      <c r="B76" s="47" t="s">
        <v>245</v>
      </c>
      <c r="C76" s="265">
        <v>150</v>
      </c>
      <c r="D76" s="110"/>
      <c r="E76" s="101"/>
      <c r="G76" s="13"/>
      <c r="H76" s="13"/>
      <c r="I76" s="13"/>
      <c r="J76" s="13"/>
      <c r="K76" s="13"/>
      <c r="L76" s="13"/>
      <c r="M76" s="13"/>
      <c r="N76" s="13"/>
      <c r="O76" s="13"/>
    </row>
    <row r="77" spans="1:15">
      <c r="A77" s="54" t="s">
        <v>331</v>
      </c>
      <c r="B77" s="47" t="s">
        <v>332</v>
      </c>
      <c r="C77" s="265">
        <v>150</v>
      </c>
      <c r="D77" s="110"/>
      <c r="E77" s="101"/>
      <c r="G77" s="13"/>
      <c r="H77" s="13"/>
      <c r="I77" s="13"/>
      <c r="J77" s="13"/>
      <c r="K77" s="13"/>
      <c r="L77" s="13"/>
      <c r="M77" s="13"/>
      <c r="N77" s="13"/>
      <c r="O77" s="13"/>
    </row>
    <row r="78" spans="1:15">
      <c r="A78" s="54" t="s">
        <v>333</v>
      </c>
      <c r="B78" s="47" t="s">
        <v>334</v>
      </c>
      <c r="C78" s="265">
        <v>80</v>
      </c>
      <c r="D78" s="110"/>
      <c r="E78" s="101"/>
      <c r="G78" s="13"/>
      <c r="H78" s="13"/>
      <c r="I78" s="13"/>
      <c r="J78" s="13"/>
      <c r="K78" s="13"/>
      <c r="L78" s="13"/>
      <c r="M78" s="13"/>
      <c r="N78" s="13"/>
      <c r="O78" s="13"/>
    </row>
    <row r="79" spans="1:15">
      <c r="A79" s="54" t="s">
        <v>335</v>
      </c>
      <c r="B79" s="47" t="s">
        <v>336</v>
      </c>
      <c r="C79" s="265">
        <v>50</v>
      </c>
      <c r="D79" s="110"/>
      <c r="E79" s="101"/>
      <c r="G79" s="13"/>
      <c r="H79" s="13"/>
      <c r="I79" s="13"/>
      <c r="J79" s="13"/>
      <c r="K79" s="13"/>
      <c r="L79" s="13"/>
      <c r="M79" s="13"/>
      <c r="N79" s="13"/>
      <c r="O79" s="13"/>
    </row>
    <row r="80" spans="1:15">
      <c r="A80" s="54" t="s">
        <v>337</v>
      </c>
      <c r="B80" s="47" t="s">
        <v>338</v>
      </c>
      <c r="C80" s="265">
        <v>450</v>
      </c>
      <c r="D80" s="110"/>
      <c r="E80" s="101"/>
      <c r="G80" s="13"/>
      <c r="H80" s="13"/>
      <c r="I80" s="13"/>
      <c r="J80" s="13"/>
      <c r="K80" s="13"/>
      <c r="L80" s="13"/>
      <c r="M80" s="13"/>
      <c r="N80" s="13"/>
      <c r="O80" s="13"/>
    </row>
    <row r="81" spans="1:15">
      <c r="A81" s="54" t="s">
        <v>339</v>
      </c>
      <c r="B81" s="47" t="s">
        <v>314</v>
      </c>
      <c r="C81" s="265">
        <v>50</v>
      </c>
      <c r="D81" s="110"/>
      <c r="E81" s="101"/>
      <c r="G81" s="13"/>
      <c r="H81" s="13"/>
      <c r="I81" s="13"/>
      <c r="J81" s="13"/>
      <c r="K81" s="13"/>
      <c r="L81" s="13"/>
      <c r="M81" s="13"/>
      <c r="N81" s="13"/>
      <c r="O81" s="13"/>
    </row>
    <row r="82" spans="1:15">
      <c r="A82" s="54" t="s">
        <v>340</v>
      </c>
      <c r="B82" s="47" t="s">
        <v>341</v>
      </c>
      <c r="C82" s="265">
        <v>120</v>
      </c>
      <c r="D82" s="110"/>
      <c r="E82" s="101"/>
      <c r="G82" s="13"/>
      <c r="H82" s="13"/>
      <c r="I82" s="13"/>
      <c r="J82" s="13"/>
      <c r="K82" s="13"/>
      <c r="L82" s="13"/>
      <c r="M82" s="13"/>
      <c r="N82" s="13"/>
      <c r="O82" s="13"/>
    </row>
    <row r="83" spans="1:15">
      <c r="A83" s="54" t="s">
        <v>342</v>
      </c>
      <c r="B83" s="111" t="s">
        <v>343</v>
      </c>
      <c r="C83" s="265">
        <v>50</v>
      </c>
      <c r="D83" s="112"/>
      <c r="E83" s="101"/>
      <c r="G83" s="13"/>
      <c r="H83" s="13"/>
      <c r="I83" s="13"/>
      <c r="J83" s="13"/>
      <c r="K83" s="13"/>
      <c r="L83" s="13"/>
      <c r="M83" s="13"/>
      <c r="N83" s="13"/>
      <c r="O83" s="13"/>
    </row>
    <row r="84" spans="1:15">
      <c r="A84" s="54" t="s">
        <v>344</v>
      </c>
      <c r="B84" s="47" t="s">
        <v>345</v>
      </c>
      <c r="C84" s="265">
        <v>300</v>
      </c>
      <c r="D84" s="112"/>
      <c r="E84" s="101"/>
      <c r="G84" s="13"/>
      <c r="H84" s="13"/>
      <c r="I84" s="13"/>
      <c r="J84" s="13"/>
      <c r="K84" s="13"/>
      <c r="L84" s="13"/>
      <c r="M84" s="13"/>
      <c r="N84" s="13"/>
      <c r="O84" s="13"/>
    </row>
    <row r="85" spans="1:15">
      <c r="A85" s="54" t="s">
        <v>346</v>
      </c>
      <c r="B85" s="47" t="s">
        <v>347</v>
      </c>
      <c r="C85" s="265">
        <v>100</v>
      </c>
      <c r="D85" s="112"/>
      <c r="E85" s="101"/>
      <c r="G85" s="13"/>
      <c r="H85" s="13"/>
      <c r="I85" s="13"/>
      <c r="J85" s="13"/>
      <c r="K85" s="13"/>
      <c r="L85" s="13"/>
      <c r="M85" s="13"/>
      <c r="N85" s="13"/>
      <c r="O85" s="13"/>
    </row>
    <row r="86" spans="1:15">
      <c r="A86" s="54" t="s">
        <v>348</v>
      </c>
      <c r="B86" s="47" t="s">
        <v>349</v>
      </c>
      <c r="C86" s="265">
        <v>80</v>
      </c>
      <c r="D86" s="112"/>
      <c r="E86" s="101"/>
      <c r="G86" s="13"/>
      <c r="H86" s="13"/>
      <c r="I86" s="13"/>
      <c r="J86" s="13"/>
      <c r="K86" s="13"/>
      <c r="L86" s="13"/>
      <c r="M86" s="13"/>
      <c r="N86" s="13"/>
      <c r="O86" s="13"/>
    </row>
    <row r="87" spans="1:15">
      <c r="A87" s="43" t="s">
        <v>350</v>
      </c>
      <c r="B87" s="54" t="s">
        <v>327</v>
      </c>
      <c r="C87" s="264">
        <v>150</v>
      </c>
      <c r="D87" s="103"/>
      <c r="E87" s="101"/>
      <c r="G87" s="13"/>
      <c r="H87" s="13"/>
      <c r="I87" s="13"/>
      <c r="J87" s="13"/>
      <c r="K87" s="13"/>
      <c r="L87" s="13"/>
      <c r="M87" s="13"/>
      <c r="N87" s="13"/>
      <c r="O87" s="13"/>
    </row>
    <row r="88" spans="1:15">
      <c r="A88" s="43" t="s">
        <v>351</v>
      </c>
      <c r="B88" s="54" t="s">
        <v>329</v>
      </c>
      <c r="C88" s="264">
        <v>150</v>
      </c>
      <c r="D88" s="103"/>
      <c r="E88" s="101"/>
      <c r="G88" s="13"/>
      <c r="H88" s="13"/>
      <c r="I88" s="13"/>
      <c r="J88" s="13"/>
      <c r="K88" s="13"/>
      <c r="L88" s="13"/>
      <c r="M88" s="13"/>
      <c r="N88" s="13"/>
      <c r="O88" s="13"/>
    </row>
    <row r="89" spans="1:15">
      <c r="A89" s="43" t="s">
        <v>352</v>
      </c>
      <c r="B89" s="54" t="s">
        <v>245</v>
      </c>
      <c r="C89" s="264">
        <v>150</v>
      </c>
      <c r="D89" s="103"/>
      <c r="E89" s="101"/>
      <c r="G89" s="13"/>
      <c r="H89" s="13"/>
      <c r="I89" s="13"/>
      <c r="J89" s="13"/>
      <c r="K89" s="13"/>
      <c r="L89" s="13"/>
      <c r="M89" s="13"/>
      <c r="N89" s="13"/>
      <c r="O89" s="13"/>
    </row>
    <row r="90" spans="1:15">
      <c r="A90" s="43" t="s">
        <v>353</v>
      </c>
      <c r="B90" s="54" t="s">
        <v>332</v>
      </c>
      <c r="C90" s="264">
        <v>150</v>
      </c>
      <c r="D90" s="103"/>
      <c r="E90" s="101"/>
      <c r="G90" s="13"/>
      <c r="H90" s="13"/>
      <c r="I90" s="13"/>
      <c r="J90" s="13"/>
      <c r="K90" s="13"/>
      <c r="L90" s="13"/>
      <c r="M90" s="13"/>
      <c r="N90" s="13"/>
      <c r="O90" s="13"/>
    </row>
    <row r="91" spans="1:15">
      <c r="A91" s="43" t="s">
        <v>354</v>
      </c>
      <c r="B91" s="54" t="s">
        <v>334</v>
      </c>
      <c r="C91" s="264">
        <v>75</v>
      </c>
      <c r="D91" s="103"/>
      <c r="E91" s="101"/>
      <c r="G91" s="13"/>
      <c r="H91" s="13"/>
      <c r="I91" s="13"/>
      <c r="J91" s="13"/>
      <c r="K91" s="13"/>
      <c r="L91" s="13"/>
      <c r="M91" s="13"/>
      <c r="N91" s="13"/>
      <c r="O91" s="13"/>
    </row>
    <row r="92" spans="1:15">
      <c r="A92" s="43" t="s">
        <v>355</v>
      </c>
      <c r="B92" s="54" t="s">
        <v>336</v>
      </c>
      <c r="C92" s="264">
        <v>50</v>
      </c>
      <c r="D92" s="103"/>
      <c r="E92" s="101"/>
      <c r="G92" s="13"/>
      <c r="H92" s="13"/>
      <c r="I92" s="13"/>
      <c r="J92" s="13"/>
      <c r="K92" s="13"/>
      <c r="L92" s="13"/>
      <c r="M92" s="13"/>
      <c r="N92" s="13"/>
      <c r="O92" s="13"/>
    </row>
    <row r="93" spans="1:15">
      <c r="A93" s="43" t="s">
        <v>356</v>
      </c>
      <c r="B93" s="54" t="s">
        <v>338</v>
      </c>
      <c r="C93" s="264">
        <v>350</v>
      </c>
      <c r="D93" s="103"/>
      <c r="E93" s="101"/>
      <c r="G93" s="13"/>
      <c r="H93" s="13"/>
      <c r="I93" s="13"/>
      <c r="J93" s="13"/>
      <c r="K93" s="13"/>
      <c r="L93" s="13"/>
      <c r="M93" s="13"/>
      <c r="N93" s="13"/>
      <c r="O93" s="13"/>
    </row>
    <row r="94" spans="1:15">
      <c r="A94" s="43" t="s">
        <v>357</v>
      </c>
      <c r="B94" s="54" t="s">
        <v>314</v>
      </c>
      <c r="C94" s="264">
        <v>50</v>
      </c>
      <c r="D94" s="103"/>
      <c r="E94" s="101"/>
      <c r="G94" s="13"/>
      <c r="H94" s="13"/>
      <c r="I94" s="13"/>
      <c r="J94" s="13"/>
      <c r="K94" s="13"/>
      <c r="L94" s="13"/>
      <c r="M94" s="13"/>
      <c r="N94" s="13"/>
      <c r="O94" s="13"/>
    </row>
    <row r="95" spans="1:15">
      <c r="A95" s="43" t="s">
        <v>358</v>
      </c>
      <c r="B95" s="54" t="s">
        <v>341</v>
      </c>
      <c r="C95" s="264">
        <v>120</v>
      </c>
      <c r="D95" s="103"/>
      <c r="E95" s="101"/>
      <c r="G95" s="13"/>
      <c r="H95" s="13"/>
      <c r="I95" s="13"/>
      <c r="J95" s="13"/>
      <c r="K95" s="13"/>
      <c r="L95" s="13"/>
      <c r="M95" s="13"/>
      <c r="N95" s="13"/>
      <c r="O95" s="13"/>
    </row>
    <row r="96" spans="1:15">
      <c r="A96" s="43" t="s">
        <v>359</v>
      </c>
      <c r="B96" s="54" t="s">
        <v>343</v>
      </c>
      <c r="C96" s="264">
        <v>50</v>
      </c>
      <c r="D96" s="103"/>
      <c r="E96" s="101"/>
      <c r="G96" s="13"/>
      <c r="H96" s="13"/>
      <c r="I96" s="13"/>
      <c r="J96" s="13"/>
      <c r="K96" s="13"/>
      <c r="L96" s="13"/>
      <c r="M96" s="13"/>
      <c r="N96" s="13"/>
      <c r="O96" s="13"/>
    </row>
    <row r="97" spans="1:15">
      <c r="A97" s="43" t="s">
        <v>360</v>
      </c>
      <c r="B97" s="54" t="s">
        <v>345</v>
      </c>
      <c r="C97" s="264">
        <v>400</v>
      </c>
      <c r="D97" s="103"/>
      <c r="E97" s="101"/>
      <c r="G97" s="13"/>
      <c r="H97" s="13"/>
      <c r="I97" s="13"/>
      <c r="J97" s="13"/>
      <c r="K97" s="13"/>
      <c r="L97" s="13"/>
      <c r="M97" s="13"/>
      <c r="N97" s="13"/>
      <c r="O97" s="13"/>
    </row>
    <row r="98" spans="1:15">
      <c r="A98" s="43" t="s">
        <v>361</v>
      </c>
      <c r="B98" s="54" t="s">
        <v>347</v>
      </c>
      <c r="C98" s="264">
        <v>120</v>
      </c>
      <c r="D98" s="103"/>
      <c r="E98" s="101"/>
      <c r="G98" s="13"/>
      <c r="H98" s="13"/>
      <c r="I98" s="13"/>
      <c r="J98" s="13"/>
      <c r="K98" s="13"/>
      <c r="L98" s="13"/>
      <c r="M98" s="13"/>
      <c r="N98" s="13"/>
      <c r="O98" s="13"/>
    </row>
    <row r="99" spans="1:15">
      <c r="A99" s="43" t="s">
        <v>362</v>
      </c>
      <c r="B99" s="54" t="s">
        <v>349</v>
      </c>
      <c r="C99" s="264">
        <v>80</v>
      </c>
      <c r="D99" s="103"/>
      <c r="E99" s="101"/>
      <c r="G99" s="13"/>
      <c r="H99" s="13"/>
      <c r="I99" s="13"/>
      <c r="J99" s="13"/>
      <c r="K99" s="13"/>
      <c r="L99" s="13"/>
      <c r="M99" s="13"/>
      <c r="N99" s="13"/>
      <c r="O99" s="13"/>
    </row>
    <row r="100" spans="1:15">
      <c r="A100" s="106" t="s">
        <v>363</v>
      </c>
      <c r="B100" s="107" t="s">
        <v>327</v>
      </c>
      <c r="C100" s="266">
        <v>150</v>
      </c>
      <c r="D100" s="105"/>
      <c r="E100" s="101"/>
      <c r="G100" s="13"/>
      <c r="H100" s="13"/>
      <c r="I100" s="13"/>
      <c r="J100" s="13"/>
      <c r="K100" s="13"/>
      <c r="L100" s="13"/>
      <c r="M100" s="13"/>
      <c r="N100" s="13"/>
      <c r="O100" s="13"/>
    </row>
    <row r="101" spans="1:15">
      <c r="A101" s="106" t="s">
        <v>364</v>
      </c>
      <c r="B101" s="107" t="s">
        <v>365</v>
      </c>
      <c r="C101" s="266">
        <v>150</v>
      </c>
      <c r="D101" s="105"/>
      <c r="E101" s="101"/>
      <c r="G101" s="13"/>
      <c r="H101" s="13"/>
      <c r="I101" s="13"/>
      <c r="J101" s="13"/>
      <c r="K101" s="13"/>
      <c r="L101" s="13"/>
      <c r="M101" s="13"/>
      <c r="N101" s="13"/>
      <c r="O101" s="13"/>
    </row>
    <row r="102" spans="1:15">
      <c r="A102" s="106" t="s">
        <v>366</v>
      </c>
      <c r="B102" s="47" t="s">
        <v>245</v>
      </c>
      <c r="C102" s="266">
        <v>200</v>
      </c>
      <c r="D102" s="105"/>
      <c r="E102" s="101"/>
      <c r="G102" s="13"/>
      <c r="H102" s="13"/>
      <c r="I102" s="13"/>
      <c r="J102" s="13"/>
      <c r="K102" s="13"/>
      <c r="L102" s="13"/>
      <c r="M102" s="13"/>
      <c r="N102" s="13"/>
      <c r="O102" s="13"/>
    </row>
    <row r="103" spans="1:15">
      <c r="A103" s="106" t="s">
        <v>367</v>
      </c>
      <c r="B103" s="47" t="s">
        <v>332</v>
      </c>
      <c r="C103" s="266">
        <v>150</v>
      </c>
      <c r="D103" s="105"/>
      <c r="E103" s="101"/>
      <c r="G103" s="13"/>
      <c r="H103" s="13"/>
      <c r="I103" s="13"/>
      <c r="J103" s="13"/>
      <c r="K103" s="13"/>
      <c r="L103" s="13"/>
      <c r="M103" s="13"/>
      <c r="N103" s="13"/>
      <c r="O103" s="13"/>
    </row>
    <row r="104" spans="1:15">
      <c r="A104" s="106" t="s">
        <v>368</v>
      </c>
      <c r="B104" s="47" t="s">
        <v>334</v>
      </c>
      <c r="C104" s="266">
        <v>100</v>
      </c>
      <c r="D104" s="105"/>
      <c r="E104" s="101"/>
      <c r="G104" s="13"/>
      <c r="H104" s="13"/>
      <c r="I104" s="13"/>
      <c r="J104" s="13"/>
      <c r="K104" s="13"/>
      <c r="L104" s="13"/>
      <c r="M104" s="13"/>
      <c r="N104" s="13"/>
      <c r="O104" s="13"/>
    </row>
    <row r="105" spans="1:15">
      <c r="A105" s="106" t="s">
        <v>369</v>
      </c>
      <c r="B105" s="47" t="s">
        <v>336</v>
      </c>
      <c r="C105" s="266">
        <v>50</v>
      </c>
      <c r="D105" s="105"/>
      <c r="E105" s="101"/>
      <c r="G105" s="13"/>
      <c r="H105" s="13"/>
      <c r="I105" s="13"/>
      <c r="J105" s="13"/>
      <c r="K105" s="13"/>
      <c r="L105" s="13"/>
      <c r="M105" s="13"/>
      <c r="N105" s="13"/>
      <c r="O105" s="13"/>
    </row>
    <row r="106" spans="1:15">
      <c r="A106" s="106" t="s">
        <v>370</v>
      </c>
      <c r="B106" s="47" t="s">
        <v>338</v>
      </c>
      <c r="C106" s="266">
        <v>450</v>
      </c>
      <c r="D106" s="105"/>
      <c r="E106" s="101"/>
      <c r="G106" s="13"/>
      <c r="H106" s="13"/>
      <c r="I106" s="13"/>
      <c r="J106" s="13"/>
      <c r="K106" s="13"/>
      <c r="L106" s="13"/>
      <c r="M106" s="13"/>
      <c r="N106" s="13"/>
      <c r="O106" s="13"/>
    </row>
    <row r="107" spans="1:15">
      <c r="A107" s="106" t="s">
        <v>371</v>
      </c>
      <c r="B107" s="47" t="s">
        <v>314</v>
      </c>
      <c r="C107" s="263">
        <v>50</v>
      </c>
      <c r="D107" s="105"/>
      <c r="E107" s="101"/>
      <c r="G107" s="13"/>
      <c r="H107" s="13"/>
      <c r="I107" s="13"/>
      <c r="J107" s="13"/>
      <c r="K107" s="13"/>
      <c r="L107" s="13"/>
      <c r="M107" s="13"/>
      <c r="N107" s="13"/>
      <c r="O107" s="13"/>
    </row>
    <row r="108" spans="1:15">
      <c r="A108" s="106" t="s">
        <v>372</v>
      </c>
      <c r="B108" s="47" t="s">
        <v>343</v>
      </c>
      <c r="C108" s="263">
        <v>80</v>
      </c>
      <c r="D108" s="105"/>
      <c r="E108" s="101"/>
      <c r="G108" s="13"/>
      <c r="H108" s="13"/>
      <c r="I108" s="13"/>
      <c r="J108" s="13"/>
      <c r="K108" s="13"/>
      <c r="L108" s="13"/>
      <c r="M108" s="13"/>
      <c r="N108" s="13"/>
      <c r="O108" s="13"/>
    </row>
    <row r="109" spans="1:15" ht="26.4">
      <c r="A109" s="106" t="s">
        <v>373</v>
      </c>
      <c r="B109" s="113" t="s">
        <v>374</v>
      </c>
      <c r="C109" s="263">
        <v>250</v>
      </c>
      <c r="D109" s="105"/>
      <c r="E109" s="101"/>
      <c r="G109" s="13"/>
      <c r="H109" s="13"/>
      <c r="I109" s="13"/>
      <c r="J109" s="13"/>
      <c r="K109" s="13"/>
      <c r="L109" s="13"/>
      <c r="M109" s="13"/>
      <c r="N109" s="13"/>
      <c r="O109" s="13"/>
    </row>
    <row r="110" spans="1:15" ht="26.4">
      <c r="A110" s="106" t="s">
        <v>375</v>
      </c>
      <c r="B110" s="113" t="s">
        <v>376</v>
      </c>
      <c r="C110" s="263">
        <v>120</v>
      </c>
      <c r="D110" s="105"/>
      <c r="E110" s="101"/>
      <c r="G110" s="13"/>
      <c r="H110" s="13"/>
      <c r="I110" s="13"/>
      <c r="J110" s="13"/>
      <c r="K110" s="13"/>
      <c r="L110" s="13"/>
      <c r="M110" s="13"/>
      <c r="N110" s="13"/>
      <c r="O110" s="13"/>
    </row>
    <row r="111" spans="1:15">
      <c r="A111" s="106" t="s">
        <v>377</v>
      </c>
      <c r="B111" s="47" t="s">
        <v>345</v>
      </c>
      <c r="C111" s="263">
        <v>450</v>
      </c>
      <c r="D111" s="105"/>
      <c r="E111" s="101"/>
      <c r="G111" s="13"/>
      <c r="H111" s="13"/>
      <c r="I111" s="13"/>
      <c r="J111" s="13"/>
      <c r="K111" s="13"/>
      <c r="L111" s="13"/>
      <c r="M111" s="13"/>
      <c r="N111" s="13"/>
      <c r="O111" s="13"/>
    </row>
    <row r="112" spans="1:15">
      <c r="A112" s="106" t="s">
        <v>378</v>
      </c>
      <c r="B112" s="47" t="s">
        <v>347</v>
      </c>
      <c r="C112" s="263">
        <v>120</v>
      </c>
      <c r="D112" s="105"/>
      <c r="E112" s="101"/>
      <c r="G112" s="13"/>
      <c r="H112" s="13"/>
      <c r="I112" s="13"/>
      <c r="J112" s="13"/>
      <c r="K112" s="13"/>
      <c r="L112" s="13"/>
      <c r="M112" s="13"/>
      <c r="N112" s="13"/>
      <c r="O112" s="13"/>
    </row>
    <row r="113" spans="1:15">
      <c r="A113" s="106" t="s">
        <v>379</v>
      </c>
      <c r="B113" s="47" t="s">
        <v>380</v>
      </c>
      <c r="C113" s="263">
        <v>500</v>
      </c>
      <c r="D113" s="105"/>
      <c r="E113" s="101"/>
      <c r="G113" s="13"/>
      <c r="H113" s="13"/>
      <c r="I113" s="13"/>
      <c r="J113" s="13"/>
      <c r="K113" s="13"/>
      <c r="L113" s="13"/>
      <c r="M113" s="13"/>
      <c r="N113" s="13"/>
      <c r="O113" s="13"/>
    </row>
    <row r="114" spans="1:15">
      <c r="A114" s="106" t="s">
        <v>381</v>
      </c>
      <c r="B114" s="47" t="s">
        <v>349</v>
      </c>
      <c r="C114" s="263">
        <v>80</v>
      </c>
      <c r="D114" s="105"/>
      <c r="E114" s="101"/>
      <c r="G114" s="13"/>
      <c r="H114" s="13"/>
      <c r="I114" s="13"/>
      <c r="J114" s="13"/>
      <c r="K114" s="13"/>
      <c r="L114" s="13"/>
      <c r="M114" s="13"/>
      <c r="N114" s="13"/>
      <c r="O114" s="13"/>
    </row>
    <row r="115" spans="1:15">
      <c r="A115" s="54"/>
      <c r="B115" s="47"/>
      <c r="C115" s="265"/>
      <c r="D115" s="227"/>
      <c r="E115" s="225"/>
      <c r="G115" s="13"/>
      <c r="H115" s="13"/>
      <c r="I115" s="13"/>
      <c r="J115" s="13"/>
      <c r="K115" s="13"/>
      <c r="L115" s="13"/>
      <c r="M115" s="13"/>
      <c r="N115" s="13"/>
      <c r="O115" s="13"/>
    </row>
    <row r="116" spans="1:15">
      <c r="A116" s="54"/>
      <c r="B116" s="60" t="s">
        <v>172</v>
      </c>
      <c r="C116" s="264"/>
      <c r="D116" s="237"/>
      <c r="E116" s="225"/>
      <c r="G116" s="161"/>
      <c r="H116" s="161"/>
      <c r="I116" s="161"/>
      <c r="J116" s="162"/>
      <c r="K116" s="162"/>
      <c r="L116" s="162"/>
      <c r="M116" s="162"/>
      <c r="N116" s="162"/>
      <c r="O116" s="13"/>
    </row>
    <row r="117" spans="1:15">
      <c r="A117" s="46" t="s">
        <v>382</v>
      </c>
      <c r="B117" s="47" t="s">
        <v>383</v>
      </c>
      <c r="C117" s="264">
        <v>900</v>
      </c>
      <c r="D117" s="103"/>
      <c r="E117" s="101"/>
      <c r="G117" s="13"/>
      <c r="H117" s="13"/>
      <c r="I117" s="13"/>
      <c r="J117" s="13"/>
      <c r="K117" s="13"/>
      <c r="L117" s="13"/>
      <c r="M117" s="13"/>
      <c r="N117" s="13"/>
      <c r="O117" s="13"/>
    </row>
    <row r="118" spans="1:15">
      <c r="A118" s="46" t="s">
        <v>384</v>
      </c>
      <c r="B118" s="47" t="s">
        <v>385</v>
      </c>
      <c r="C118" s="264">
        <v>250</v>
      </c>
      <c r="D118" s="103"/>
      <c r="E118" s="101"/>
      <c r="G118" s="13"/>
      <c r="H118" s="13"/>
      <c r="I118" s="13"/>
      <c r="J118" s="13"/>
      <c r="K118" s="13"/>
      <c r="L118" s="13"/>
      <c r="M118" s="13"/>
      <c r="N118" s="13"/>
      <c r="O118" s="13"/>
    </row>
    <row r="119" spans="1:15">
      <c r="A119" s="46" t="s">
        <v>386</v>
      </c>
      <c r="B119" s="47" t="s">
        <v>387</v>
      </c>
      <c r="C119" s="264">
        <v>200</v>
      </c>
      <c r="D119" s="103"/>
      <c r="E119" s="101"/>
      <c r="G119" s="13"/>
      <c r="H119" s="13"/>
      <c r="I119" s="13"/>
      <c r="J119" s="13"/>
      <c r="K119" s="13"/>
      <c r="L119" s="13"/>
      <c r="M119" s="13"/>
      <c r="N119" s="13"/>
      <c r="O119" s="13"/>
    </row>
    <row r="120" spans="1:15">
      <c r="A120" s="46" t="s">
        <v>388</v>
      </c>
      <c r="B120" s="47" t="s">
        <v>389</v>
      </c>
      <c r="C120" s="263">
        <v>75</v>
      </c>
      <c r="D120" s="110"/>
      <c r="E120" s="101"/>
      <c r="G120" s="13"/>
      <c r="H120" s="13"/>
      <c r="I120" s="13"/>
      <c r="J120" s="13"/>
      <c r="K120" s="13"/>
      <c r="L120" s="13"/>
      <c r="M120" s="13"/>
      <c r="N120" s="13"/>
      <c r="O120" s="13"/>
    </row>
    <row r="121" spans="1:15">
      <c r="A121" s="46" t="s">
        <v>390</v>
      </c>
      <c r="B121" s="47" t="s">
        <v>314</v>
      </c>
      <c r="C121" s="263">
        <v>50</v>
      </c>
      <c r="D121" s="110"/>
      <c r="E121" s="101"/>
      <c r="G121" s="13"/>
      <c r="H121" s="13"/>
      <c r="I121" s="13"/>
      <c r="J121" s="13"/>
      <c r="K121" s="13"/>
      <c r="L121" s="13"/>
      <c r="M121" s="13"/>
      <c r="N121" s="13"/>
      <c r="O121" s="13"/>
    </row>
    <row r="122" spans="1:15">
      <c r="A122" s="46" t="s">
        <v>391</v>
      </c>
      <c r="B122" s="47" t="s">
        <v>392</v>
      </c>
      <c r="C122" s="263">
        <v>100</v>
      </c>
      <c r="D122" s="110"/>
      <c r="E122" s="101"/>
      <c r="G122" s="13"/>
      <c r="H122" s="13"/>
      <c r="I122" s="13"/>
      <c r="J122" s="13"/>
      <c r="K122" s="13"/>
      <c r="L122" s="13"/>
      <c r="M122" s="13"/>
      <c r="N122" s="13"/>
      <c r="O122" s="13"/>
    </row>
    <row r="123" spans="1:15">
      <c r="A123" s="43" t="s">
        <v>393</v>
      </c>
      <c r="B123" s="54" t="s">
        <v>383</v>
      </c>
      <c r="C123" s="264">
        <v>1000</v>
      </c>
      <c r="D123" s="103"/>
      <c r="E123" s="101"/>
      <c r="G123" s="13"/>
      <c r="H123" s="13"/>
      <c r="I123" s="13"/>
      <c r="J123" s="13"/>
      <c r="K123" s="13"/>
      <c r="L123" s="13"/>
      <c r="M123" s="13"/>
      <c r="N123" s="13"/>
      <c r="O123" s="13"/>
    </row>
    <row r="124" spans="1:15">
      <c r="A124" s="43" t="s">
        <v>394</v>
      </c>
      <c r="B124" s="54" t="s">
        <v>385</v>
      </c>
      <c r="C124" s="264">
        <v>400</v>
      </c>
      <c r="D124" s="103"/>
      <c r="E124" s="101"/>
      <c r="G124" s="13"/>
      <c r="H124" s="13"/>
      <c r="I124" s="13"/>
      <c r="J124" s="13"/>
      <c r="K124" s="13"/>
      <c r="L124" s="13"/>
      <c r="M124" s="13"/>
      <c r="N124" s="13"/>
      <c r="O124" s="13"/>
    </row>
    <row r="125" spans="1:15">
      <c r="A125" s="43" t="s">
        <v>395</v>
      </c>
      <c r="B125" s="54" t="s">
        <v>387</v>
      </c>
      <c r="C125" s="264">
        <v>200</v>
      </c>
      <c r="D125" s="103"/>
      <c r="E125" s="101"/>
      <c r="G125" s="13"/>
      <c r="H125" s="13"/>
      <c r="I125" s="13"/>
      <c r="J125" s="13"/>
      <c r="K125" s="13"/>
      <c r="L125" s="13"/>
      <c r="M125" s="13"/>
      <c r="N125" s="13"/>
      <c r="O125" s="13"/>
    </row>
    <row r="126" spans="1:15">
      <c r="A126" s="43" t="s">
        <v>396</v>
      </c>
      <c r="B126" s="54" t="s">
        <v>389</v>
      </c>
      <c r="C126" s="264">
        <v>75</v>
      </c>
      <c r="D126" s="103"/>
      <c r="E126" s="101"/>
      <c r="G126" s="13"/>
      <c r="H126" s="13"/>
      <c r="I126" s="13"/>
      <c r="J126" s="13"/>
      <c r="K126" s="13"/>
      <c r="L126" s="13"/>
      <c r="M126" s="13"/>
      <c r="N126" s="13"/>
      <c r="O126" s="13"/>
    </row>
    <row r="127" spans="1:15">
      <c r="A127" s="43" t="s">
        <v>397</v>
      </c>
      <c r="B127" s="54" t="s">
        <v>314</v>
      </c>
      <c r="C127" s="264">
        <v>50</v>
      </c>
      <c r="D127" s="103"/>
      <c r="E127" s="101"/>
      <c r="G127" s="13"/>
      <c r="H127" s="13"/>
      <c r="I127" s="13"/>
      <c r="J127" s="13"/>
      <c r="K127" s="13"/>
      <c r="L127" s="13"/>
      <c r="M127" s="13"/>
      <c r="N127" s="13"/>
      <c r="O127" s="13"/>
    </row>
    <row r="128" spans="1:15">
      <c r="A128" s="43" t="s">
        <v>398</v>
      </c>
      <c r="B128" s="54" t="s">
        <v>392</v>
      </c>
      <c r="C128" s="264">
        <v>50</v>
      </c>
      <c r="D128" s="103"/>
      <c r="E128" s="101"/>
      <c r="G128" s="13"/>
      <c r="H128" s="13"/>
      <c r="I128" s="13"/>
      <c r="J128" s="13"/>
      <c r="K128" s="13"/>
      <c r="L128" s="13"/>
      <c r="M128" s="13"/>
      <c r="N128" s="13"/>
      <c r="O128" s="13"/>
    </row>
    <row r="129" spans="1:15">
      <c r="A129" s="114" t="s">
        <v>399</v>
      </c>
      <c r="B129" s="47" t="s">
        <v>389</v>
      </c>
      <c r="C129" s="263">
        <v>75</v>
      </c>
      <c r="D129" s="105"/>
      <c r="E129" s="101"/>
      <c r="G129" s="13"/>
      <c r="H129" s="13"/>
      <c r="I129" s="13"/>
      <c r="J129" s="13"/>
      <c r="K129" s="13"/>
      <c r="L129" s="13"/>
      <c r="M129" s="13"/>
      <c r="N129" s="13"/>
      <c r="O129" s="13"/>
    </row>
    <row r="130" spans="1:15">
      <c r="A130" s="114" t="s">
        <v>400</v>
      </c>
      <c r="B130" s="47" t="s">
        <v>314</v>
      </c>
      <c r="C130" s="263">
        <v>50</v>
      </c>
      <c r="D130" s="105"/>
      <c r="E130" s="101"/>
      <c r="G130" s="13"/>
      <c r="H130" s="13"/>
      <c r="I130" s="13"/>
      <c r="J130" s="13"/>
      <c r="K130" s="13"/>
      <c r="L130" s="13"/>
      <c r="M130" s="13"/>
      <c r="N130" s="13"/>
      <c r="O130" s="13"/>
    </row>
    <row r="131" spans="1:15">
      <c r="A131" s="114" t="s">
        <v>401</v>
      </c>
      <c r="B131" s="47" t="s">
        <v>392</v>
      </c>
      <c r="C131" s="263">
        <v>125</v>
      </c>
      <c r="D131" s="105"/>
      <c r="E131" s="101"/>
      <c r="G131" s="13"/>
      <c r="H131" s="13"/>
      <c r="I131" s="13"/>
      <c r="J131" s="13"/>
      <c r="K131" s="13"/>
      <c r="L131" s="13"/>
      <c r="M131" s="13"/>
      <c r="N131" s="13"/>
      <c r="O131" s="13"/>
    </row>
    <row r="132" spans="1:15">
      <c r="A132" s="115"/>
      <c r="B132" s="47"/>
      <c r="C132" s="263"/>
      <c r="D132" s="226"/>
      <c r="E132" s="225"/>
      <c r="G132" s="13"/>
      <c r="H132" s="13"/>
      <c r="I132" s="13"/>
      <c r="J132" s="13"/>
      <c r="K132" s="13"/>
      <c r="L132" s="13"/>
      <c r="M132" s="13"/>
      <c r="N132" s="13"/>
      <c r="O132" s="13"/>
    </row>
    <row r="133" spans="1:15">
      <c r="A133" s="43"/>
      <c r="B133" s="61" t="s">
        <v>165</v>
      </c>
      <c r="C133" s="264"/>
      <c r="D133" s="226"/>
      <c r="E133" s="225"/>
      <c r="G133" s="13"/>
      <c r="H133" s="13"/>
      <c r="I133" s="13"/>
      <c r="J133" s="13"/>
      <c r="K133" s="13"/>
      <c r="L133" s="13"/>
      <c r="M133" s="13"/>
      <c r="N133" s="13"/>
      <c r="O133" s="13"/>
    </row>
    <row r="134" spans="1:15">
      <c r="A134" s="116" t="s">
        <v>402</v>
      </c>
      <c r="B134" s="107" t="s">
        <v>403</v>
      </c>
      <c r="C134" s="263">
        <v>300</v>
      </c>
      <c r="D134" s="105"/>
      <c r="E134" s="101"/>
      <c r="G134" s="13"/>
      <c r="H134" s="13"/>
      <c r="I134" s="13"/>
      <c r="J134" s="13"/>
      <c r="K134" s="13"/>
      <c r="L134" s="13"/>
      <c r="M134" s="13"/>
      <c r="N134" s="13"/>
      <c r="O134" s="13"/>
    </row>
    <row r="135" spans="1:15">
      <c r="A135" s="116" t="s">
        <v>404</v>
      </c>
      <c r="B135" s="107" t="s">
        <v>405</v>
      </c>
      <c r="C135" s="263">
        <v>400</v>
      </c>
      <c r="D135" s="105"/>
      <c r="E135" s="101"/>
      <c r="G135" s="13"/>
      <c r="H135" s="13"/>
      <c r="I135" s="13"/>
      <c r="J135" s="13"/>
      <c r="K135" s="13"/>
      <c r="L135" s="13"/>
      <c r="M135" s="13"/>
      <c r="N135" s="13"/>
      <c r="O135" s="13"/>
    </row>
    <row r="136" spans="1:15">
      <c r="A136" s="116" t="s">
        <v>406</v>
      </c>
      <c r="B136" s="107" t="s">
        <v>407</v>
      </c>
      <c r="C136" s="263">
        <v>250</v>
      </c>
      <c r="D136" s="105"/>
      <c r="E136" s="101"/>
      <c r="G136" s="13"/>
      <c r="H136" s="13"/>
      <c r="I136" s="13"/>
      <c r="J136" s="13"/>
      <c r="K136" s="13"/>
      <c r="L136" s="13"/>
      <c r="M136" s="13"/>
      <c r="N136" s="13"/>
      <c r="O136" s="13"/>
    </row>
    <row r="137" spans="1:15">
      <c r="A137" s="116" t="s">
        <v>408</v>
      </c>
      <c r="B137" s="47" t="s">
        <v>409</v>
      </c>
      <c r="C137" s="263">
        <v>100</v>
      </c>
      <c r="D137" s="105"/>
      <c r="E137" s="101"/>
      <c r="G137" s="13"/>
      <c r="H137" s="13"/>
      <c r="I137" s="13"/>
      <c r="J137" s="13"/>
      <c r="K137" s="13"/>
      <c r="L137" s="13"/>
      <c r="M137" s="13"/>
      <c r="N137" s="13"/>
      <c r="O137" s="13"/>
    </row>
    <row r="138" spans="1:15">
      <c r="A138" s="116" t="s">
        <v>410</v>
      </c>
      <c r="B138" s="47" t="s">
        <v>411</v>
      </c>
      <c r="C138" s="263">
        <v>300</v>
      </c>
      <c r="D138" s="105"/>
      <c r="E138" s="101"/>
      <c r="G138" s="13"/>
      <c r="H138" s="13"/>
      <c r="I138" s="13"/>
      <c r="J138" s="13"/>
      <c r="K138" s="13"/>
      <c r="L138" s="13"/>
      <c r="M138" s="13"/>
      <c r="N138" s="13"/>
      <c r="O138" s="13"/>
    </row>
    <row r="139" spans="1:15">
      <c r="A139" s="116" t="s">
        <v>412</v>
      </c>
      <c r="B139" s="47" t="s">
        <v>413</v>
      </c>
      <c r="C139" s="263">
        <v>150</v>
      </c>
      <c r="D139" s="105"/>
      <c r="E139" s="101"/>
      <c r="G139" s="13"/>
      <c r="H139" s="13"/>
      <c r="I139" s="13"/>
      <c r="J139" s="13"/>
      <c r="K139" s="13"/>
      <c r="L139" s="13"/>
      <c r="M139" s="13"/>
      <c r="N139" s="13"/>
      <c r="O139" s="13"/>
    </row>
    <row r="140" spans="1:15">
      <c r="A140" s="116" t="s">
        <v>414</v>
      </c>
      <c r="B140" s="47" t="s">
        <v>415</v>
      </c>
      <c r="C140" s="263">
        <v>100</v>
      </c>
      <c r="D140" s="105"/>
      <c r="E140" s="101"/>
      <c r="G140" s="13"/>
      <c r="H140" s="13"/>
      <c r="I140" s="13"/>
      <c r="J140" s="13"/>
      <c r="K140" s="13"/>
      <c r="L140" s="13"/>
      <c r="M140" s="13"/>
      <c r="N140" s="13"/>
      <c r="O140" s="13"/>
    </row>
    <row r="141" spans="1:15">
      <c r="A141" s="116" t="s">
        <v>416</v>
      </c>
      <c r="B141" s="47" t="s">
        <v>417</v>
      </c>
      <c r="C141" s="263">
        <v>200</v>
      </c>
      <c r="D141" s="105"/>
      <c r="E141" s="101"/>
      <c r="G141" s="13"/>
      <c r="H141" s="13"/>
      <c r="I141" s="13"/>
      <c r="J141" s="13"/>
      <c r="K141" s="13"/>
      <c r="L141" s="13"/>
      <c r="M141" s="13"/>
      <c r="N141" s="13"/>
      <c r="O141" s="13"/>
    </row>
    <row r="142" spans="1:15">
      <c r="A142" s="116" t="s">
        <v>418</v>
      </c>
      <c r="B142" s="47" t="s">
        <v>419</v>
      </c>
      <c r="C142" s="263">
        <v>80</v>
      </c>
      <c r="D142" s="105"/>
      <c r="E142" s="101"/>
      <c r="G142" s="13"/>
      <c r="H142" s="13"/>
      <c r="I142" s="13"/>
      <c r="J142" s="13"/>
      <c r="K142" s="13"/>
      <c r="L142" s="13"/>
      <c r="M142" s="13"/>
      <c r="N142" s="13"/>
      <c r="O142" s="13"/>
    </row>
    <row r="143" spans="1:15">
      <c r="A143" s="116" t="s">
        <v>420</v>
      </c>
      <c r="B143" s="47" t="s">
        <v>421</v>
      </c>
      <c r="C143" s="263">
        <v>100</v>
      </c>
      <c r="D143" s="105"/>
      <c r="E143" s="101"/>
      <c r="G143" s="13"/>
      <c r="H143" s="13"/>
      <c r="I143" s="13"/>
      <c r="J143" s="13"/>
      <c r="K143" s="13"/>
      <c r="L143" s="13"/>
      <c r="M143" s="13"/>
      <c r="N143" s="13"/>
      <c r="O143" s="13"/>
    </row>
    <row r="144" spans="1:15">
      <c r="A144" s="116" t="s">
        <v>422</v>
      </c>
      <c r="B144" s="47" t="s">
        <v>323</v>
      </c>
      <c r="C144" s="263">
        <v>200</v>
      </c>
      <c r="D144" s="105"/>
      <c r="E144" s="101"/>
      <c r="G144" s="13"/>
      <c r="H144" s="13"/>
      <c r="I144" s="13"/>
      <c r="J144" s="13"/>
      <c r="K144" s="13"/>
      <c r="L144" s="13"/>
      <c r="M144" s="13"/>
      <c r="N144" s="13"/>
      <c r="O144" s="13"/>
    </row>
    <row r="145" spans="1:15">
      <c r="A145" s="116"/>
      <c r="B145" s="47"/>
      <c r="C145" s="263"/>
      <c r="D145" s="226"/>
      <c r="E145" s="225"/>
      <c r="G145" s="13"/>
      <c r="H145" s="13"/>
      <c r="I145" s="13"/>
      <c r="J145" s="13"/>
      <c r="K145" s="13"/>
      <c r="L145" s="13"/>
      <c r="M145" s="13"/>
      <c r="N145" s="13"/>
      <c r="O145" s="13"/>
    </row>
    <row r="146" spans="1:15">
      <c r="A146" s="54"/>
      <c r="B146" s="60" t="s">
        <v>186</v>
      </c>
      <c r="C146" s="264"/>
      <c r="D146" s="237"/>
      <c r="E146" s="225"/>
      <c r="G146" s="161"/>
      <c r="H146" s="165"/>
      <c r="I146" s="161"/>
      <c r="J146" s="162"/>
      <c r="K146" s="166"/>
      <c r="L146" s="162"/>
      <c r="M146" s="162"/>
      <c r="N146" s="13"/>
      <c r="O146" s="13"/>
    </row>
    <row r="147" spans="1:15">
      <c r="A147" s="54" t="s">
        <v>423</v>
      </c>
      <c r="B147" s="55" t="s">
        <v>424</v>
      </c>
      <c r="C147" s="264">
        <v>80</v>
      </c>
      <c r="D147" s="103"/>
      <c r="E147" s="101"/>
      <c r="G147" s="13"/>
      <c r="H147" s="13"/>
      <c r="I147" s="13"/>
      <c r="J147" s="13"/>
      <c r="K147" s="13"/>
      <c r="L147" s="13"/>
      <c r="M147" s="13"/>
      <c r="N147" s="13"/>
      <c r="O147" s="13"/>
    </row>
    <row r="148" spans="1:15">
      <c r="A148" s="54" t="s">
        <v>425</v>
      </c>
      <c r="B148" s="54" t="s">
        <v>426</v>
      </c>
      <c r="C148" s="268">
        <f>MAX(125,Summary!B9+Summary!B10)*0.5</f>
        <v>62.5</v>
      </c>
      <c r="D148" s="103"/>
      <c r="E148" s="101"/>
      <c r="G148" s="13"/>
      <c r="H148" s="13"/>
      <c r="I148" s="13"/>
      <c r="J148" s="13"/>
      <c r="K148" s="13"/>
      <c r="L148" s="13"/>
      <c r="M148" s="13"/>
      <c r="N148" s="13"/>
      <c r="O148" s="13"/>
    </row>
    <row r="149" spans="1:15">
      <c r="A149" s="114" t="s">
        <v>427</v>
      </c>
      <c r="B149" s="47" t="s">
        <v>426</v>
      </c>
      <c r="C149" s="265">
        <v>125</v>
      </c>
      <c r="D149" s="105"/>
      <c r="E149" s="101"/>
      <c r="G149" s="13"/>
      <c r="H149" s="13"/>
      <c r="I149" s="13"/>
      <c r="J149" s="13"/>
      <c r="K149" s="13"/>
      <c r="L149" s="13"/>
      <c r="M149" s="13"/>
      <c r="N149" s="13"/>
      <c r="O149" s="13"/>
    </row>
    <row r="150" spans="1:15">
      <c r="A150" s="117"/>
      <c r="B150" s="118"/>
      <c r="C150" s="119"/>
      <c r="D150" s="238"/>
      <c r="E150" s="225"/>
      <c r="G150" s="13"/>
      <c r="H150" s="13"/>
      <c r="I150" s="13"/>
      <c r="J150" s="13"/>
      <c r="K150" s="13"/>
      <c r="L150" s="13"/>
      <c r="M150" s="13"/>
      <c r="N150" s="13"/>
      <c r="O150" s="13"/>
    </row>
    <row r="151" spans="1:15">
      <c r="A151" s="117"/>
      <c r="B151" s="118"/>
      <c r="C151" s="119"/>
      <c r="D151" s="238"/>
      <c r="E151" s="225"/>
      <c r="G151" s="13"/>
      <c r="H151" s="13"/>
      <c r="I151" s="13"/>
      <c r="J151" s="13"/>
      <c r="K151" s="13"/>
      <c r="L151" s="13"/>
      <c r="M151" s="13"/>
      <c r="N151" s="13"/>
      <c r="O151" s="13"/>
    </row>
    <row r="152" spans="1:15">
      <c r="A152" s="117"/>
      <c r="B152" s="118"/>
      <c r="C152" s="119"/>
      <c r="D152" s="238"/>
      <c r="E152" s="225"/>
      <c r="G152" s="13"/>
      <c r="H152" s="13"/>
      <c r="I152" s="13"/>
      <c r="J152" s="13"/>
      <c r="K152" s="13"/>
      <c r="L152" s="13"/>
      <c r="M152" s="13"/>
      <c r="N152" s="13"/>
      <c r="O152" s="13"/>
    </row>
    <row r="153" spans="1:15">
      <c r="A153" s="117"/>
      <c r="B153" s="118"/>
      <c r="C153" s="119"/>
      <c r="D153" s="238"/>
      <c r="E153" s="225"/>
      <c r="G153" s="13"/>
      <c r="H153" s="13"/>
      <c r="I153" s="13"/>
      <c r="J153" s="13"/>
      <c r="K153" s="13"/>
      <c r="L153" s="13"/>
      <c r="M153" s="13"/>
      <c r="N153" s="13"/>
      <c r="O153" s="13"/>
    </row>
    <row r="154" spans="1:15">
      <c r="A154" s="117"/>
      <c r="B154" s="118"/>
      <c r="C154" s="119"/>
      <c r="D154" s="238"/>
      <c r="E154" s="225"/>
      <c r="G154" s="13"/>
      <c r="H154" s="13"/>
      <c r="I154" s="13"/>
      <c r="J154" s="13"/>
      <c r="K154" s="13"/>
      <c r="L154" s="13"/>
      <c r="M154" s="13"/>
      <c r="N154" s="13"/>
      <c r="O154" s="13"/>
    </row>
    <row r="155" spans="1:15">
      <c r="A155" s="117"/>
      <c r="B155" s="118"/>
      <c r="C155" s="119"/>
      <c r="D155" s="239"/>
      <c r="E155" s="240"/>
      <c r="G155" s="13"/>
      <c r="H155" s="13"/>
      <c r="I155" s="13"/>
      <c r="J155" s="13"/>
      <c r="K155" s="13"/>
      <c r="L155" s="13"/>
      <c r="M155" s="13"/>
      <c r="N155" s="13"/>
      <c r="O155" s="13"/>
    </row>
    <row r="156" spans="1:15">
      <c r="A156" s="117"/>
      <c r="B156" s="118"/>
      <c r="C156" s="119"/>
      <c r="D156" s="102"/>
      <c r="E156" s="54"/>
    </row>
    <row r="157" spans="1:15">
      <c r="A157" s="117"/>
      <c r="B157" s="118"/>
      <c r="C157" s="119"/>
      <c r="D157" s="102"/>
      <c r="E157" s="54"/>
    </row>
    <row r="158" spans="1:15">
      <c r="D158" s="54"/>
      <c r="E158" s="54"/>
    </row>
    <row r="159" spans="1:15">
      <c r="B159" s="14" t="s">
        <v>428</v>
      </c>
      <c r="D159" s="14">
        <f>SUM(D8:D158)</f>
        <v>0</v>
      </c>
      <c r="E159" s="14">
        <f>SUM(E8:E158)</f>
        <v>0</v>
      </c>
      <c r="F159" s="14" t="s">
        <v>64</v>
      </c>
    </row>
  </sheetData>
  <sheetProtection password="F70F" sheet="1" selectLockedCells="1"/>
  <mergeCells count="4">
    <mergeCell ref="C1:D1"/>
    <mergeCell ref="C3:D3"/>
    <mergeCell ref="C4:D4"/>
    <mergeCell ref="C2:D2"/>
  </mergeCells>
  <phoneticPr fontId="0" type="noConversion"/>
  <printOptions horizontalCentered="1" gridLines="1"/>
  <pageMargins left="0.75" right="0.5" top="1.25" bottom="1" header="0.5" footer="0.5"/>
  <pageSetup fitToHeight="10" orientation="portrait" r:id="rId1"/>
  <headerFooter alignWithMargins="0">
    <oddHeader xml:space="preserve">&amp;C&amp;"Arial,Bold"&amp;11ARKANSAS SCHOOL FACILITY MANUAL
PROGRAM OF REQUIREMENTS
SCHOOL SUPPORT SPACES (NOT REQUIRED)
&amp;RForm Printed
&amp;D 
</oddHeader>
    <oddFooter>&amp;L&amp;8Division of Public School Academic Facilities and Transportation
&amp;C5600 - &amp;P &amp;R&amp;8Form Revised 11/18/21
February 3, 2022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pageSetUpPr fitToPage="1"/>
  </sheetPr>
  <dimension ref="A1:O194"/>
  <sheetViews>
    <sheetView workbookViewId="0">
      <pane ySplit="7" topLeftCell="A185" activePane="bottomLeft" state="frozen"/>
      <selection pane="bottomLeft" activeCell="E108" sqref="E108"/>
    </sheetView>
  </sheetViews>
  <sheetFormatPr defaultColWidth="9.109375" defaultRowHeight="13.2"/>
  <cols>
    <col min="1" max="1" width="12.33203125" style="14" customWidth="1"/>
    <col min="2" max="2" width="28.44140625" style="14" customWidth="1"/>
    <col min="3" max="3" width="12.109375" style="14" customWidth="1"/>
    <col min="4" max="4" width="12.5546875" style="121" customWidth="1"/>
    <col min="5" max="5" width="9.109375" style="14"/>
    <col min="6" max="7" width="9.109375" style="14" customWidth="1"/>
    <col min="8" max="8" width="10.33203125" style="14" customWidth="1"/>
    <col min="9" max="9" width="10.6640625" style="14" customWidth="1"/>
    <col min="10" max="10" width="9.88671875" style="14" customWidth="1"/>
    <col min="11" max="11" width="29.44140625" style="14" hidden="1" customWidth="1"/>
    <col min="12" max="16384" width="9.109375" style="14"/>
  </cols>
  <sheetData>
    <row r="1" spans="1:15" ht="13.8" thickBot="1">
      <c r="A1" s="12" t="s">
        <v>38</v>
      </c>
      <c r="B1" s="13"/>
      <c r="C1" s="867">
        <f>Summary!C1</f>
        <v>0</v>
      </c>
      <c r="D1" s="868"/>
      <c r="F1" s="14" t="s">
        <v>429</v>
      </c>
    </row>
    <row r="2" spans="1:15" ht="13.8" thickBot="1">
      <c r="A2" s="12" t="s">
        <v>39</v>
      </c>
      <c r="B2" s="13"/>
      <c r="C2" s="867">
        <f>Summary!C2</f>
        <v>0</v>
      </c>
      <c r="D2" s="868"/>
      <c r="F2" s="16" t="s">
        <v>612</v>
      </c>
    </row>
    <row r="3" spans="1:15" ht="13.8" thickBot="1">
      <c r="A3" s="12" t="s">
        <v>40</v>
      </c>
      <c r="B3" s="13"/>
      <c r="C3" s="867">
        <f>Summary!C3</f>
        <v>0</v>
      </c>
      <c r="D3" s="868"/>
      <c r="F3" s="14" t="s">
        <v>430</v>
      </c>
    </row>
    <row r="4" spans="1:15" ht="13.8" thickBot="1">
      <c r="A4" s="12" t="s">
        <v>41</v>
      </c>
      <c r="B4" s="13"/>
      <c r="C4" s="867">
        <f>Summary!C4</f>
        <v>0</v>
      </c>
      <c r="D4" s="868"/>
      <c r="F4" s="16" t="s">
        <v>613</v>
      </c>
      <c r="G4" s="209"/>
    </row>
    <row r="5" spans="1:15" ht="13.8" thickBot="1">
      <c r="A5" s="117"/>
      <c r="B5" s="118"/>
      <c r="C5" s="119"/>
      <c r="D5" s="167"/>
    </row>
    <row r="6" spans="1:15" ht="28.5" customHeight="1" thickTop="1" thickBot="1">
      <c r="A6" s="117"/>
      <c r="B6" s="118"/>
      <c r="C6" s="119"/>
      <c r="D6" s="168" t="s">
        <v>593</v>
      </c>
      <c r="E6" s="873" t="s">
        <v>65</v>
      </c>
      <c r="F6" s="874"/>
      <c r="G6" s="873" t="s">
        <v>431</v>
      </c>
      <c r="H6" s="874"/>
      <c r="I6" s="875" t="s">
        <v>69</v>
      </c>
      <c r="J6" s="876"/>
      <c r="K6" s="877"/>
      <c r="L6" s="878"/>
    </row>
    <row r="7" spans="1:15" ht="14.4" thickTop="1" thickBot="1">
      <c r="B7" s="28" t="s">
        <v>614</v>
      </c>
      <c r="D7" s="169" t="s">
        <v>432</v>
      </c>
      <c r="E7" s="36" t="s">
        <v>71</v>
      </c>
      <c r="F7" s="37" t="s">
        <v>72</v>
      </c>
      <c r="G7" s="36" t="s">
        <v>71</v>
      </c>
      <c r="H7" s="37" t="s">
        <v>72</v>
      </c>
      <c r="I7" s="36" t="s">
        <v>71</v>
      </c>
      <c r="J7" s="38" t="s">
        <v>72</v>
      </c>
      <c r="K7" s="228"/>
      <c r="L7" s="41"/>
      <c r="M7" s="13"/>
      <c r="N7" s="13"/>
    </row>
    <row r="8" spans="1:15">
      <c r="A8" s="870"/>
      <c r="B8" s="871"/>
      <c r="C8" s="871"/>
      <c r="D8" s="871"/>
      <c r="E8" s="871"/>
      <c r="F8" s="871"/>
      <c r="G8" s="871"/>
      <c r="H8" s="871"/>
      <c r="I8" s="871"/>
      <c r="J8" s="871"/>
      <c r="K8" s="872"/>
      <c r="L8" s="872"/>
      <c r="M8" s="872"/>
      <c r="N8" s="872"/>
      <c r="O8" s="13"/>
    </row>
    <row r="9" spans="1:15">
      <c r="A9" s="556" t="s">
        <v>844</v>
      </c>
      <c r="B9" s="557"/>
      <c r="C9" s="558"/>
      <c r="D9" s="558"/>
      <c r="E9" s="558"/>
      <c r="F9" s="558"/>
      <c r="G9" s="558"/>
      <c r="H9" s="558"/>
      <c r="I9" s="558"/>
      <c r="J9" s="558"/>
      <c r="K9" s="432"/>
      <c r="L9" s="432"/>
      <c r="M9" s="432"/>
      <c r="N9" s="432"/>
    </row>
    <row r="10" spans="1:15">
      <c r="A10" s="559" t="s">
        <v>433</v>
      </c>
      <c r="B10" s="560"/>
      <c r="C10" s="561"/>
      <c r="D10" s="561"/>
      <c r="E10" s="749"/>
      <c r="F10" s="735"/>
      <c r="G10" s="735"/>
      <c r="H10" s="735"/>
      <c r="I10" s="735"/>
      <c r="J10" s="735"/>
      <c r="K10" s="432"/>
      <c r="L10" s="432"/>
      <c r="M10" s="432"/>
      <c r="N10" s="432"/>
    </row>
    <row r="11" spans="1:15" ht="26.4">
      <c r="A11" s="562" t="s">
        <v>687</v>
      </c>
      <c r="B11" s="563" t="s">
        <v>845</v>
      </c>
      <c r="C11" s="564"/>
      <c r="D11" s="565">
        <v>1100</v>
      </c>
      <c r="E11" s="122"/>
      <c r="F11" s="120"/>
      <c r="G11" s="466"/>
      <c r="H11" s="466"/>
      <c r="I11" s="734">
        <f>E11+G11</f>
        <v>0</v>
      </c>
      <c r="J11" s="734">
        <f>F11+H11</f>
        <v>0</v>
      </c>
      <c r="K11" s="432"/>
      <c r="L11" s="432"/>
      <c r="M11" s="432"/>
      <c r="N11" s="432"/>
    </row>
    <row r="12" spans="1:15">
      <c r="A12" s="566"/>
      <c r="B12" s="567"/>
      <c r="C12" s="568"/>
      <c r="D12" s="569"/>
      <c r="E12" s="749"/>
      <c r="F12" s="735"/>
      <c r="G12" s="735"/>
      <c r="H12" s="735"/>
      <c r="I12" s="735"/>
      <c r="J12" s="735"/>
      <c r="K12" s="432"/>
      <c r="L12" s="432"/>
      <c r="M12" s="432"/>
      <c r="N12" s="432"/>
    </row>
    <row r="13" spans="1:15">
      <c r="A13" s="570" t="s">
        <v>434</v>
      </c>
      <c r="B13" s="571"/>
      <c r="C13" s="568"/>
      <c r="D13" s="569"/>
      <c r="E13" s="749"/>
      <c r="F13" s="735"/>
      <c r="G13" s="735"/>
      <c r="H13" s="735"/>
      <c r="I13" s="735"/>
      <c r="J13" s="735"/>
      <c r="K13" s="432"/>
      <c r="L13" s="432"/>
      <c r="M13" s="432"/>
      <c r="N13" s="432"/>
    </row>
    <row r="14" spans="1:15">
      <c r="A14" s="562" t="s">
        <v>688</v>
      </c>
      <c r="B14" s="563" t="s">
        <v>846</v>
      </c>
      <c r="C14" s="572"/>
      <c r="D14" s="573">
        <v>3000</v>
      </c>
      <c r="E14" s="465"/>
      <c r="F14" s="466"/>
      <c r="G14" s="466"/>
      <c r="H14" s="466"/>
      <c r="I14" s="734">
        <f>E14+G14</f>
        <v>0</v>
      </c>
      <c r="J14" s="734">
        <f>F14+H14</f>
        <v>0</v>
      </c>
      <c r="K14" s="432"/>
      <c r="L14" s="432"/>
      <c r="M14" s="432"/>
      <c r="N14" s="432"/>
    </row>
    <row r="15" spans="1:15">
      <c r="A15" s="574" t="s">
        <v>847</v>
      </c>
      <c r="B15" s="575" t="s">
        <v>435</v>
      </c>
      <c r="C15" s="572"/>
      <c r="D15" s="565">
        <v>500</v>
      </c>
      <c r="E15" s="465"/>
      <c r="F15" s="466"/>
      <c r="G15" s="466"/>
      <c r="H15" s="466"/>
      <c r="I15" s="734">
        <f>E15+G15</f>
        <v>0</v>
      </c>
      <c r="J15" s="734">
        <f>F15+H15</f>
        <v>0</v>
      </c>
      <c r="K15" s="432"/>
      <c r="L15" s="432"/>
      <c r="M15" s="432"/>
      <c r="N15" s="432"/>
    </row>
    <row r="16" spans="1:15">
      <c r="A16" s="566"/>
      <c r="B16" s="567"/>
      <c r="C16" s="568"/>
      <c r="D16" s="569"/>
      <c r="E16" s="749"/>
      <c r="F16" s="735"/>
      <c r="G16" s="735"/>
      <c r="H16" s="735"/>
      <c r="I16" s="735"/>
      <c r="J16" s="735"/>
      <c r="K16" s="432"/>
      <c r="L16" s="432"/>
      <c r="M16" s="432"/>
      <c r="N16" s="432"/>
    </row>
    <row r="17" spans="1:14">
      <c r="A17" s="576" t="s">
        <v>436</v>
      </c>
      <c r="B17" s="567"/>
      <c r="C17" s="568"/>
      <c r="D17" s="569"/>
      <c r="E17" s="749"/>
      <c r="F17" s="735"/>
      <c r="G17" s="735"/>
      <c r="H17" s="735"/>
      <c r="I17" s="735"/>
      <c r="J17" s="735"/>
      <c r="K17" s="432"/>
      <c r="L17" s="432"/>
      <c r="M17" s="432"/>
      <c r="N17" s="432"/>
    </row>
    <row r="18" spans="1:14">
      <c r="A18" s="562" t="s">
        <v>689</v>
      </c>
      <c r="B18" s="577" t="s">
        <v>437</v>
      </c>
      <c r="C18" s="572"/>
      <c r="D18" s="565">
        <v>500</v>
      </c>
      <c r="E18" s="465"/>
      <c r="F18" s="466"/>
      <c r="G18" s="466"/>
      <c r="H18" s="466"/>
      <c r="I18" s="734">
        <f>E18+G18</f>
        <v>0</v>
      </c>
      <c r="J18" s="734">
        <f>F18+H18</f>
        <v>0</v>
      </c>
      <c r="K18" s="432"/>
      <c r="L18" s="432"/>
      <c r="M18" s="432"/>
      <c r="N18" s="432"/>
    </row>
    <row r="19" spans="1:14">
      <c r="A19" s="566"/>
      <c r="B19" s="567"/>
      <c r="C19" s="568"/>
      <c r="D19" s="569"/>
      <c r="E19" s="749"/>
      <c r="F19" s="735"/>
      <c r="G19" s="735"/>
      <c r="H19" s="735"/>
      <c r="I19" s="735"/>
      <c r="J19" s="735"/>
      <c r="K19" s="432"/>
      <c r="L19" s="432"/>
      <c r="M19" s="432"/>
      <c r="N19" s="432"/>
    </row>
    <row r="20" spans="1:14">
      <c r="A20" s="578" t="s">
        <v>848</v>
      </c>
      <c r="B20" s="571"/>
      <c r="C20" s="579"/>
      <c r="D20" s="580"/>
      <c r="E20" s="749"/>
      <c r="F20" s="735"/>
      <c r="G20" s="735"/>
      <c r="H20" s="735"/>
      <c r="I20" s="735"/>
      <c r="J20" s="735"/>
      <c r="K20" s="432"/>
      <c r="L20" s="432"/>
      <c r="M20" s="432"/>
      <c r="N20" s="432"/>
    </row>
    <row r="21" spans="1:14" ht="26.4">
      <c r="A21" s="581" t="s">
        <v>690</v>
      </c>
      <c r="B21" s="563" t="s">
        <v>849</v>
      </c>
      <c r="C21" s="582"/>
      <c r="D21" s="565">
        <v>1100</v>
      </c>
      <c r="E21" s="465"/>
      <c r="F21" s="466"/>
      <c r="G21" s="466"/>
      <c r="H21" s="466"/>
      <c r="I21" s="734">
        <f>E21+G21</f>
        <v>0</v>
      </c>
      <c r="J21" s="734">
        <f>F21+H21</f>
        <v>0</v>
      </c>
      <c r="K21" s="432"/>
      <c r="L21" s="432"/>
      <c r="M21" s="432"/>
      <c r="N21" s="432"/>
    </row>
    <row r="22" spans="1:14">
      <c r="A22" s="566"/>
      <c r="B22" s="567"/>
      <c r="C22" s="568"/>
      <c r="D22" s="569"/>
      <c r="E22" s="750"/>
      <c r="F22" s="568"/>
      <c r="G22" s="568"/>
      <c r="H22" s="568"/>
      <c r="I22" s="735"/>
      <c r="J22" s="735"/>
      <c r="K22" s="432"/>
      <c r="L22" s="432"/>
      <c r="M22" s="432"/>
      <c r="N22" s="432"/>
    </row>
    <row r="23" spans="1:14">
      <c r="A23" s="583" t="s">
        <v>438</v>
      </c>
      <c r="B23" s="584"/>
      <c r="C23" s="585"/>
      <c r="D23" s="586"/>
      <c r="E23" s="751"/>
      <c r="F23" s="612"/>
      <c r="G23" s="612"/>
      <c r="H23" s="612"/>
      <c r="I23" s="612"/>
      <c r="J23" s="612"/>
      <c r="K23" s="432"/>
      <c r="L23" s="432"/>
      <c r="M23" s="432"/>
      <c r="N23" s="432"/>
    </row>
    <row r="24" spans="1:14">
      <c r="A24" s="587" t="s">
        <v>691</v>
      </c>
      <c r="B24" s="588" t="s">
        <v>439</v>
      </c>
      <c r="C24" s="589"/>
      <c r="D24" s="590">
        <v>1100</v>
      </c>
      <c r="E24" s="467"/>
      <c r="F24" s="468"/>
      <c r="G24" s="468"/>
      <c r="H24" s="468"/>
      <c r="I24" s="615">
        <f>E24+G24</f>
        <v>0</v>
      </c>
      <c r="J24" s="615">
        <f>F24+H24</f>
        <v>0</v>
      </c>
      <c r="K24" s="432"/>
      <c r="L24" s="432"/>
      <c r="M24" s="432"/>
      <c r="N24" s="432"/>
    </row>
    <row r="25" spans="1:14">
      <c r="A25" s="591"/>
      <c r="B25" s="592"/>
      <c r="C25" s="593"/>
      <c r="D25" s="594"/>
      <c r="E25" s="752"/>
      <c r="F25" s="608"/>
      <c r="G25" s="608"/>
      <c r="H25" s="608"/>
      <c r="I25" s="608"/>
      <c r="J25" s="608"/>
      <c r="K25" s="432"/>
      <c r="L25" s="432"/>
      <c r="M25" s="432"/>
      <c r="N25" s="432"/>
    </row>
    <row r="26" spans="1:14">
      <c r="A26" s="595" t="s">
        <v>850</v>
      </c>
      <c r="B26" s="596"/>
      <c r="C26" s="597"/>
      <c r="D26" s="597"/>
      <c r="E26" s="597"/>
      <c r="F26" s="597"/>
      <c r="G26" s="597"/>
      <c r="H26" s="597"/>
      <c r="I26" s="597"/>
      <c r="J26" s="597"/>
      <c r="K26" s="432"/>
      <c r="L26" s="432"/>
      <c r="M26" s="432"/>
      <c r="N26" s="432"/>
    </row>
    <row r="27" spans="1:14">
      <c r="A27" s="598" t="s">
        <v>440</v>
      </c>
      <c r="B27" s="599"/>
      <c r="C27" s="600"/>
      <c r="D27" s="601"/>
      <c r="E27" s="751"/>
      <c r="F27" s="612"/>
      <c r="G27" s="612"/>
      <c r="H27" s="612"/>
      <c r="I27" s="612"/>
      <c r="J27" s="612"/>
      <c r="K27" s="432"/>
      <c r="L27" s="432"/>
      <c r="M27" s="432"/>
      <c r="N27" s="432"/>
    </row>
    <row r="28" spans="1:14" ht="26.4">
      <c r="A28" s="602" t="s">
        <v>692</v>
      </c>
      <c r="B28" s="603" t="s">
        <v>851</v>
      </c>
      <c r="C28" s="604"/>
      <c r="D28" s="605">
        <v>850</v>
      </c>
      <c r="E28" s="469"/>
      <c r="F28" s="470"/>
      <c r="G28" s="120"/>
      <c r="H28" s="120"/>
      <c r="I28" s="624">
        <f>E28+G28</f>
        <v>0</v>
      </c>
      <c r="J28" s="624">
        <f>F28+H28</f>
        <v>0</v>
      </c>
      <c r="K28" s="432"/>
      <c r="L28" s="432"/>
      <c r="M28" s="432"/>
      <c r="N28" s="432"/>
    </row>
    <row r="29" spans="1:14">
      <c r="A29" s="606"/>
      <c r="B29" s="607"/>
      <c r="C29" s="608"/>
      <c r="D29" s="609"/>
      <c r="E29" s="752"/>
      <c r="F29" s="608"/>
      <c r="G29" s="608"/>
      <c r="H29" s="608"/>
      <c r="I29" s="608"/>
      <c r="J29" s="608"/>
      <c r="K29" s="432"/>
      <c r="L29" s="432"/>
      <c r="M29" s="432"/>
      <c r="N29" s="432"/>
    </row>
    <row r="30" spans="1:14">
      <c r="A30" s="610" t="s">
        <v>852</v>
      </c>
      <c r="B30" s="611"/>
      <c r="C30" s="612"/>
      <c r="D30" s="613"/>
      <c r="E30" s="751"/>
      <c r="F30" s="612"/>
      <c r="G30" s="612"/>
      <c r="H30" s="612"/>
      <c r="I30" s="612"/>
      <c r="J30" s="612"/>
      <c r="K30" s="432"/>
      <c r="L30" s="432"/>
      <c r="M30" s="432"/>
      <c r="N30" s="432"/>
    </row>
    <row r="31" spans="1:14" ht="26.4">
      <c r="A31" s="602" t="s">
        <v>693</v>
      </c>
      <c r="B31" s="614" t="s">
        <v>853</v>
      </c>
      <c r="C31" s="615"/>
      <c r="D31" s="605">
        <v>850</v>
      </c>
      <c r="E31" s="467"/>
      <c r="F31" s="468"/>
      <c r="G31" s="468"/>
      <c r="H31" s="468"/>
      <c r="I31" s="615">
        <f>E31+G31</f>
        <v>0</v>
      </c>
      <c r="J31" s="615">
        <f>F31+H31</f>
        <v>0</v>
      </c>
      <c r="K31" s="432"/>
      <c r="L31" s="432"/>
      <c r="M31" s="432"/>
      <c r="N31" s="432"/>
    </row>
    <row r="32" spans="1:14">
      <c r="A32" s="616"/>
      <c r="B32" s="617"/>
      <c r="C32" s="618"/>
      <c r="D32" s="619"/>
      <c r="E32" s="748"/>
      <c r="F32" s="618"/>
      <c r="G32" s="618"/>
      <c r="H32" s="618"/>
      <c r="I32" s="618"/>
      <c r="J32" s="618"/>
      <c r="K32" s="432"/>
      <c r="L32" s="432"/>
      <c r="M32" s="432"/>
      <c r="N32" s="432"/>
    </row>
    <row r="33" spans="1:15">
      <c r="A33" s="620" t="s">
        <v>854</v>
      </c>
      <c r="B33" s="611"/>
      <c r="C33" s="612"/>
      <c r="D33" s="621"/>
      <c r="E33" s="751"/>
      <c r="F33" s="612"/>
      <c r="G33" s="612"/>
      <c r="H33" s="612"/>
      <c r="I33" s="612"/>
      <c r="J33" s="612"/>
      <c r="K33" s="432"/>
      <c r="L33" s="432"/>
      <c r="M33" s="432"/>
      <c r="N33" s="432"/>
    </row>
    <row r="34" spans="1:15" ht="26.4">
      <c r="A34" s="622" t="s">
        <v>694</v>
      </c>
      <c r="B34" s="623" t="s">
        <v>855</v>
      </c>
      <c r="C34" s="624"/>
      <c r="D34" s="625">
        <v>1100</v>
      </c>
      <c r="E34" s="122"/>
      <c r="F34" s="120"/>
      <c r="G34" s="120"/>
      <c r="H34" s="120"/>
      <c r="I34" s="624">
        <f>E34+G34</f>
        <v>0</v>
      </c>
      <c r="J34" s="624">
        <f>F34+H34</f>
        <v>0</v>
      </c>
      <c r="K34" s="785"/>
      <c r="L34" s="785"/>
      <c r="M34" s="785"/>
      <c r="N34" s="785"/>
      <c r="O34" s="13"/>
    </row>
    <row r="35" spans="1:15">
      <c r="A35" s="626"/>
      <c r="B35" s="627"/>
      <c r="C35" s="608"/>
      <c r="D35" s="628"/>
      <c r="E35" s="752"/>
      <c r="F35" s="608"/>
      <c r="G35" s="608"/>
      <c r="H35" s="608"/>
      <c r="I35" s="608"/>
      <c r="J35" s="608"/>
      <c r="K35" s="432"/>
      <c r="L35" s="432"/>
      <c r="M35" s="432"/>
      <c r="N35" s="432"/>
    </row>
    <row r="36" spans="1:15">
      <c r="A36" s="620" t="s">
        <v>856</v>
      </c>
      <c r="B36" s="629"/>
      <c r="C36" s="630"/>
      <c r="D36" s="621"/>
      <c r="E36" s="751"/>
      <c r="F36" s="612"/>
      <c r="G36" s="612"/>
      <c r="H36" s="612"/>
      <c r="I36" s="612"/>
      <c r="J36" s="612"/>
      <c r="K36" s="432"/>
      <c r="L36" s="432"/>
      <c r="M36" s="432"/>
      <c r="N36" s="432"/>
    </row>
    <row r="37" spans="1:15" ht="26.4">
      <c r="A37" s="631" t="s">
        <v>695</v>
      </c>
      <c r="B37" s="623" t="s">
        <v>857</v>
      </c>
      <c r="C37" s="632"/>
      <c r="D37" s="605">
        <v>850</v>
      </c>
      <c r="E37" s="471"/>
      <c r="F37" s="470"/>
      <c r="G37" s="470"/>
      <c r="H37" s="470"/>
      <c r="I37" s="624">
        <f>E37+G37</f>
        <v>0</v>
      </c>
      <c r="J37" s="624">
        <f>F37+H37</f>
        <v>0</v>
      </c>
      <c r="K37" s="432"/>
      <c r="L37" s="432"/>
      <c r="M37" s="432"/>
      <c r="N37" s="432"/>
    </row>
    <row r="38" spans="1:15">
      <c r="A38" s="633"/>
      <c r="B38" s="634"/>
      <c r="C38" s="635"/>
      <c r="D38" s="636"/>
      <c r="E38" s="752"/>
      <c r="F38" s="608"/>
      <c r="G38" s="608"/>
      <c r="H38" s="608"/>
      <c r="I38" s="608"/>
      <c r="J38" s="608"/>
      <c r="K38" s="432"/>
      <c r="L38" s="432"/>
      <c r="M38" s="432"/>
      <c r="N38" s="432"/>
    </row>
    <row r="39" spans="1:15">
      <c r="A39" s="620" t="s">
        <v>858</v>
      </c>
      <c r="B39" s="629"/>
      <c r="C39" s="630"/>
      <c r="D39" s="621"/>
      <c r="E39" s="751"/>
      <c r="F39" s="612"/>
      <c r="G39" s="612"/>
      <c r="H39" s="612"/>
      <c r="I39" s="612"/>
      <c r="J39" s="612"/>
      <c r="K39" s="432"/>
      <c r="L39" s="432"/>
      <c r="M39" s="432"/>
      <c r="N39" s="432"/>
    </row>
    <row r="40" spans="1:15" ht="39.6">
      <c r="A40" s="631" t="s">
        <v>696</v>
      </c>
      <c r="B40" s="623" t="s">
        <v>859</v>
      </c>
      <c r="C40" s="632"/>
      <c r="D40" s="605">
        <v>850</v>
      </c>
      <c r="E40" s="471"/>
      <c r="F40" s="470"/>
      <c r="G40" s="470"/>
      <c r="H40" s="470"/>
      <c r="I40" s="624">
        <f>E40+G40</f>
        <v>0</v>
      </c>
      <c r="J40" s="624">
        <f>F40+H40</f>
        <v>0</v>
      </c>
      <c r="K40" s="432"/>
      <c r="L40" s="432"/>
      <c r="M40" s="432"/>
      <c r="N40" s="432"/>
    </row>
    <row r="41" spans="1:15">
      <c r="A41" s="633"/>
      <c r="B41" s="634"/>
      <c r="C41" s="635"/>
      <c r="D41" s="636"/>
      <c r="E41" s="752"/>
      <c r="F41" s="608"/>
      <c r="G41" s="608"/>
      <c r="H41" s="608"/>
      <c r="I41" s="608"/>
      <c r="J41" s="608"/>
      <c r="K41" s="432"/>
      <c r="L41" s="432"/>
      <c r="M41" s="432"/>
      <c r="N41" s="432"/>
    </row>
    <row r="42" spans="1:15">
      <c r="A42" s="620" t="s">
        <v>860</v>
      </c>
      <c r="B42" s="629"/>
      <c r="C42" s="630"/>
      <c r="D42" s="621"/>
      <c r="E42" s="751"/>
      <c r="F42" s="612"/>
      <c r="G42" s="612"/>
      <c r="H42" s="612"/>
      <c r="I42" s="612"/>
      <c r="J42" s="612"/>
      <c r="K42" s="432"/>
      <c r="L42" s="432"/>
      <c r="M42" s="432"/>
      <c r="N42" s="432"/>
    </row>
    <row r="43" spans="1:15" ht="26.4">
      <c r="A43" s="631" t="s">
        <v>697</v>
      </c>
      <c r="B43" s="637" t="s">
        <v>861</v>
      </c>
      <c r="C43" s="638"/>
      <c r="D43" s="605">
        <v>850</v>
      </c>
      <c r="E43" s="467"/>
      <c r="F43" s="470"/>
      <c r="G43" s="470"/>
      <c r="H43" s="470"/>
      <c r="I43" s="624">
        <f>E43+G43</f>
        <v>0</v>
      </c>
      <c r="J43" s="624">
        <f>F43+H43</f>
        <v>0</v>
      </c>
      <c r="K43" s="432"/>
      <c r="L43" s="432"/>
      <c r="M43" s="432"/>
      <c r="N43" s="432"/>
    </row>
    <row r="44" spans="1:15">
      <c r="A44" s="633"/>
      <c r="B44" s="634"/>
      <c r="C44" s="635"/>
      <c r="D44" s="636"/>
      <c r="E44" s="752"/>
      <c r="F44" s="608"/>
      <c r="G44" s="608"/>
      <c r="H44" s="608"/>
      <c r="I44" s="608"/>
      <c r="J44" s="608"/>
      <c r="K44" s="432"/>
      <c r="L44" s="432"/>
      <c r="M44" s="432"/>
      <c r="N44" s="432"/>
    </row>
    <row r="45" spans="1:15">
      <c r="A45" s="620" t="s">
        <v>862</v>
      </c>
      <c r="B45" s="629"/>
      <c r="C45" s="639"/>
      <c r="D45" s="621"/>
      <c r="E45" s="751"/>
      <c r="F45" s="612"/>
      <c r="G45" s="612"/>
      <c r="H45" s="612"/>
      <c r="I45" s="612"/>
      <c r="J45" s="612"/>
      <c r="K45" s="432"/>
      <c r="L45" s="432"/>
      <c r="M45" s="432"/>
      <c r="N45" s="432"/>
    </row>
    <row r="46" spans="1:15" ht="26.4">
      <c r="A46" s="631" t="s">
        <v>698</v>
      </c>
      <c r="B46" s="603" t="s">
        <v>863</v>
      </c>
      <c r="C46" s="640"/>
      <c r="D46" s="605">
        <v>850</v>
      </c>
      <c r="E46" s="122"/>
      <c r="F46" s="120"/>
      <c r="G46" s="120"/>
      <c r="H46" s="120"/>
      <c r="I46" s="624">
        <f>E46+G46</f>
        <v>0</v>
      </c>
      <c r="J46" s="624">
        <f>F46+H46</f>
        <v>0</v>
      </c>
      <c r="K46" s="432"/>
      <c r="L46" s="432"/>
      <c r="M46" s="432"/>
      <c r="N46" s="432"/>
    </row>
    <row r="47" spans="1:15">
      <c r="A47" s="633"/>
      <c r="B47" s="634"/>
      <c r="C47" s="639"/>
      <c r="D47" s="636"/>
      <c r="E47" s="752"/>
      <c r="F47" s="608"/>
      <c r="G47" s="608"/>
      <c r="H47" s="608"/>
      <c r="I47" s="608"/>
      <c r="J47" s="608"/>
      <c r="K47" s="432"/>
      <c r="L47" s="432"/>
      <c r="M47" s="432"/>
      <c r="N47" s="432"/>
    </row>
    <row r="48" spans="1:15">
      <c r="A48" s="620" t="s">
        <v>864</v>
      </c>
      <c r="B48" s="629"/>
      <c r="C48" s="639"/>
      <c r="D48" s="621"/>
      <c r="E48" s="751"/>
      <c r="F48" s="612"/>
      <c r="G48" s="612"/>
      <c r="H48" s="612"/>
      <c r="I48" s="612"/>
      <c r="J48" s="612"/>
      <c r="K48" s="432"/>
      <c r="L48" s="432"/>
      <c r="M48" s="432"/>
      <c r="N48" s="432"/>
    </row>
    <row r="49" spans="1:14" ht="26.4">
      <c r="A49" s="631" t="s">
        <v>699</v>
      </c>
      <c r="B49" s="603" t="s">
        <v>865</v>
      </c>
      <c r="C49" s="640"/>
      <c r="D49" s="605">
        <v>850</v>
      </c>
      <c r="E49" s="471"/>
      <c r="F49" s="470"/>
      <c r="G49" s="470"/>
      <c r="H49" s="470"/>
      <c r="I49" s="624">
        <f>E49+G49</f>
        <v>0</v>
      </c>
      <c r="J49" s="624">
        <f>F49+H49</f>
        <v>0</v>
      </c>
      <c r="K49" s="432"/>
      <c r="L49" s="432"/>
      <c r="M49" s="432"/>
      <c r="N49" s="432"/>
    </row>
    <row r="50" spans="1:14">
      <c r="A50" s="633"/>
      <c r="B50" s="634"/>
      <c r="C50" s="639"/>
      <c r="D50" s="636"/>
      <c r="E50" s="752"/>
      <c r="F50" s="608"/>
      <c r="G50" s="608"/>
      <c r="H50" s="608"/>
      <c r="I50" s="608"/>
      <c r="J50" s="608"/>
      <c r="K50" s="432"/>
      <c r="L50" s="432"/>
      <c r="M50" s="432"/>
      <c r="N50" s="432"/>
    </row>
    <row r="51" spans="1:14">
      <c r="A51" s="620" t="s">
        <v>866</v>
      </c>
      <c r="B51" s="629"/>
      <c r="C51" s="630"/>
      <c r="D51" s="621"/>
      <c r="E51" s="751"/>
      <c r="F51" s="612"/>
      <c r="G51" s="612"/>
      <c r="H51" s="612"/>
      <c r="I51" s="612"/>
      <c r="J51" s="612"/>
      <c r="K51" s="432"/>
      <c r="L51" s="432"/>
      <c r="M51" s="432"/>
      <c r="N51" s="432"/>
    </row>
    <row r="52" spans="1:14" ht="26.4">
      <c r="A52" s="641" t="s">
        <v>700</v>
      </c>
      <c r="B52" s="614" t="s">
        <v>867</v>
      </c>
      <c r="C52" s="638"/>
      <c r="D52" s="605">
        <v>850</v>
      </c>
      <c r="E52" s="467"/>
      <c r="F52" s="468"/>
      <c r="G52" s="120"/>
      <c r="H52" s="120"/>
      <c r="I52" s="624">
        <f>E52+G52</f>
        <v>0</v>
      </c>
      <c r="J52" s="624">
        <f>F52+H52</f>
        <v>0</v>
      </c>
      <c r="K52" s="432"/>
      <c r="L52" s="432"/>
      <c r="M52" s="432"/>
      <c r="N52" s="432"/>
    </row>
    <row r="53" spans="1:14">
      <c r="A53" s="633"/>
      <c r="B53" s="634"/>
      <c r="C53" s="635"/>
      <c r="D53" s="636"/>
      <c r="E53" s="752"/>
      <c r="F53" s="608"/>
      <c r="G53" s="608"/>
      <c r="H53" s="608"/>
      <c r="I53" s="608"/>
      <c r="J53" s="608"/>
      <c r="K53" s="432"/>
      <c r="L53" s="432"/>
      <c r="M53" s="432"/>
      <c r="N53" s="432"/>
    </row>
    <row r="54" spans="1:14">
      <c r="A54" s="610" t="s">
        <v>868</v>
      </c>
      <c r="B54" s="642"/>
      <c r="C54" s="639"/>
      <c r="D54" s="643"/>
      <c r="E54" s="749"/>
      <c r="F54" s="735"/>
      <c r="G54" s="735"/>
      <c r="H54" s="735"/>
      <c r="I54" s="735"/>
      <c r="J54" s="735"/>
      <c r="K54" s="432"/>
      <c r="L54" s="432"/>
      <c r="M54" s="432"/>
      <c r="N54" s="432"/>
    </row>
    <row r="55" spans="1:14">
      <c r="A55" s="610" t="s">
        <v>869</v>
      </c>
      <c r="B55" s="642"/>
      <c r="C55" s="639"/>
      <c r="D55" s="643"/>
      <c r="E55" s="749"/>
      <c r="F55" s="735"/>
      <c r="G55" s="735"/>
      <c r="H55" s="735"/>
      <c r="I55" s="735"/>
      <c r="J55" s="735"/>
      <c r="K55" s="432"/>
      <c r="L55" s="432"/>
      <c r="M55" s="432"/>
      <c r="N55" s="432"/>
    </row>
    <row r="56" spans="1:14" ht="26.4">
      <c r="A56" s="644" t="s">
        <v>701</v>
      </c>
      <c r="B56" s="645" t="s">
        <v>870</v>
      </c>
      <c r="C56" s="640"/>
      <c r="D56" s="605">
        <v>550</v>
      </c>
      <c r="E56" s="465"/>
      <c r="F56" s="466"/>
      <c r="G56" s="466"/>
      <c r="H56" s="466"/>
      <c r="I56" s="734">
        <f t="shared" ref="I56:J58" si="0">E56+G56</f>
        <v>0</v>
      </c>
      <c r="J56" s="734">
        <f t="shared" si="0"/>
        <v>0</v>
      </c>
      <c r="K56" s="432"/>
      <c r="L56" s="432"/>
      <c r="M56" s="432"/>
      <c r="N56" s="432"/>
    </row>
    <row r="57" spans="1:14" ht="26.4">
      <c r="A57" s="644" t="s">
        <v>702</v>
      </c>
      <c r="B57" s="645" t="s">
        <v>871</v>
      </c>
      <c r="C57" s="640"/>
      <c r="D57" s="605">
        <v>150</v>
      </c>
      <c r="E57" s="465"/>
      <c r="F57" s="466"/>
      <c r="G57" s="466"/>
      <c r="H57" s="466"/>
      <c r="I57" s="734">
        <f t="shared" si="0"/>
        <v>0</v>
      </c>
      <c r="J57" s="734">
        <f t="shared" si="0"/>
        <v>0</v>
      </c>
      <c r="K57" s="432"/>
      <c r="L57" s="432"/>
      <c r="M57" s="432"/>
      <c r="N57" s="432"/>
    </row>
    <row r="58" spans="1:14" ht="26.4">
      <c r="A58" s="644" t="s">
        <v>703</v>
      </c>
      <c r="B58" s="645" t="s">
        <v>872</v>
      </c>
      <c r="C58" s="640"/>
      <c r="D58" s="605">
        <v>50</v>
      </c>
      <c r="E58" s="465"/>
      <c r="F58" s="466"/>
      <c r="G58" s="466"/>
      <c r="H58" s="466"/>
      <c r="I58" s="734">
        <f t="shared" si="0"/>
        <v>0</v>
      </c>
      <c r="J58" s="734">
        <f t="shared" si="0"/>
        <v>0</v>
      </c>
      <c r="K58" s="432"/>
      <c r="L58" s="432"/>
      <c r="M58" s="432"/>
      <c r="N58" s="432"/>
    </row>
    <row r="59" spans="1:14">
      <c r="A59" s="610"/>
      <c r="B59" s="642"/>
      <c r="C59" s="639"/>
      <c r="D59" s="643"/>
      <c r="E59" s="749"/>
      <c r="F59" s="735"/>
      <c r="G59" s="735"/>
      <c r="H59" s="735"/>
      <c r="I59" s="735"/>
      <c r="J59" s="735"/>
      <c r="K59" s="432"/>
      <c r="L59" s="432"/>
      <c r="M59" s="432"/>
      <c r="N59" s="432"/>
    </row>
    <row r="60" spans="1:14">
      <c r="A60" s="646" t="s">
        <v>873</v>
      </c>
      <c r="B60" s="647"/>
      <c r="C60" s="648"/>
      <c r="D60" s="649"/>
      <c r="E60" s="736"/>
      <c r="F60" s="736"/>
      <c r="G60" s="736"/>
      <c r="H60" s="736"/>
      <c r="I60" s="736"/>
      <c r="J60" s="736"/>
      <c r="K60" s="432"/>
      <c r="L60" s="432"/>
      <c r="M60" s="432"/>
      <c r="N60" s="432"/>
    </row>
    <row r="61" spans="1:14" ht="26.4">
      <c r="A61" s="650" t="s">
        <v>704</v>
      </c>
      <c r="B61" s="651" t="s">
        <v>874</v>
      </c>
      <c r="C61" s="652"/>
      <c r="D61" s="653">
        <v>1100</v>
      </c>
      <c r="E61" s="472"/>
      <c r="F61" s="473"/>
      <c r="G61" s="473"/>
      <c r="H61" s="473"/>
      <c r="I61" s="737">
        <f>E61+G61</f>
        <v>0</v>
      </c>
      <c r="J61" s="737">
        <f>F61+H61</f>
        <v>0</v>
      </c>
      <c r="K61" s="432"/>
      <c r="L61" s="432"/>
      <c r="M61" s="432"/>
      <c r="N61" s="432"/>
    </row>
    <row r="62" spans="1:14" ht="26.4">
      <c r="A62" s="650" t="s">
        <v>705</v>
      </c>
      <c r="B62" s="654" t="s">
        <v>875</v>
      </c>
      <c r="C62" s="655"/>
      <c r="D62" s="653">
        <v>600</v>
      </c>
      <c r="E62" s="472"/>
      <c r="F62" s="473"/>
      <c r="G62" s="473"/>
      <c r="H62" s="473"/>
      <c r="I62" s="737">
        <f>E62+G62</f>
        <v>0</v>
      </c>
      <c r="J62" s="737">
        <f>F62+H62</f>
        <v>0</v>
      </c>
      <c r="K62" s="432"/>
      <c r="L62" s="432"/>
      <c r="M62" s="432"/>
      <c r="N62" s="432"/>
    </row>
    <row r="63" spans="1:14">
      <c r="A63" s="633"/>
      <c r="B63" s="634"/>
      <c r="C63" s="656"/>
      <c r="D63" s="636"/>
      <c r="E63" s="752"/>
      <c r="F63" s="608"/>
      <c r="G63" s="608"/>
      <c r="H63" s="608"/>
      <c r="I63" s="608"/>
      <c r="J63" s="608"/>
      <c r="K63" s="432"/>
      <c r="L63" s="432"/>
      <c r="M63" s="432"/>
      <c r="N63" s="432"/>
    </row>
    <row r="64" spans="1:14">
      <c r="A64" s="620" t="s">
        <v>594</v>
      </c>
      <c r="B64" s="629"/>
      <c r="C64" s="657"/>
      <c r="D64" s="621"/>
      <c r="E64" s="751"/>
      <c r="F64" s="612"/>
      <c r="G64" s="612"/>
      <c r="H64" s="612"/>
      <c r="I64" s="612"/>
      <c r="J64" s="612"/>
      <c r="K64" s="432"/>
      <c r="L64" s="432"/>
      <c r="M64" s="432"/>
      <c r="N64" s="432"/>
    </row>
    <row r="65" spans="1:14" ht="26.4">
      <c r="A65" s="631" t="s">
        <v>706</v>
      </c>
      <c r="B65" s="658" t="s">
        <v>876</v>
      </c>
      <c r="C65" s="659"/>
      <c r="D65" s="660">
        <v>1100</v>
      </c>
      <c r="E65" s="467"/>
      <c r="F65" s="468"/>
      <c r="G65" s="468"/>
      <c r="H65" s="468"/>
      <c r="I65" s="615">
        <f>E65+G65</f>
        <v>0</v>
      </c>
      <c r="J65" s="615">
        <f>F65+H65</f>
        <v>0</v>
      </c>
      <c r="K65" s="432"/>
      <c r="L65" s="432"/>
      <c r="M65" s="432"/>
      <c r="N65" s="432"/>
    </row>
    <row r="66" spans="1:14">
      <c r="A66" s="633"/>
      <c r="B66" s="634"/>
      <c r="C66" s="661"/>
      <c r="D66" s="636"/>
      <c r="E66" s="752"/>
      <c r="F66" s="608"/>
      <c r="G66" s="608"/>
      <c r="H66" s="608"/>
      <c r="I66" s="608"/>
      <c r="J66" s="608"/>
      <c r="K66" s="432"/>
      <c r="L66" s="432"/>
      <c r="M66" s="432"/>
      <c r="N66" s="432"/>
    </row>
    <row r="67" spans="1:14">
      <c r="A67" s="620" t="s">
        <v>441</v>
      </c>
      <c r="B67" s="629"/>
      <c r="C67" s="661"/>
      <c r="D67" s="621"/>
      <c r="E67" s="751"/>
      <c r="F67" s="612"/>
      <c r="G67" s="612"/>
      <c r="H67" s="612"/>
      <c r="I67" s="612"/>
      <c r="J67" s="612"/>
      <c r="K67" s="432"/>
      <c r="L67" s="432"/>
      <c r="M67" s="432"/>
      <c r="N67" s="432"/>
    </row>
    <row r="68" spans="1:14" ht="26.4">
      <c r="A68" s="641" t="s">
        <v>707</v>
      </c>
      <c r="B68" s="662" t="s">
        <v>877</v>
      </c>
      <c r="C68" s="652"/>
      <c r="D68" s="653">
        <v>1100</v>
      </c>
      <c r="E68" s="472"/>
      <c r="F68" s="473"/>
      <c r="G68" s="473"/>
      <c r="H68" s="473"/>
      <c r="I68" s="737">
        <f>E68+G68</f>
        <v>0</v>
      </c>
      <c r="J68" s="737">
        <f>F68+H68</f>
        <v>0</v>
      </c>
      <c r="K68" s="432"/>
      <c r="L68" s="432"/>
      <c r="M68" s="432"/>
      <c r="N68" s="432"/>
    </row>
    <row r="69" spans="1:14">
      <c r="A69" s="663"/>
      <c r="B69" s="634"/>
      <c r="C69" s="656"/>
      <c r="D69" s="636"/>
      <c r="E69" s="752"/>
      <c r="F69" s="608"/>
      <c r="G69" s="608"/>
      <c r="H69" s="608"/>
      <c r="I69" s="608"/>
      <c r="J69" s="608"/>
      <c r="K69" s="432"/>
      <c r="L69" s="432"/>
      <c r="M69" s="432"/>
      <c r="N69" s="432"/>
    </row>
    <row r="70" spans="1:14">
      <c r="A70" s="620" t="s">
        <v>878</v>
      </c>
      <c r="B70" s="629"/>
      <c r="C70" s="657"/>
      <c r="D70" s="621"/>
      <c r="E70" s="751"/>
      <c r="F70" s="612"/>
      <c r="G70" s="612"/>
      <c r="H70" s="612"/>
      <c r="I70" s="612"/>
      <c r="J70" s="612"/>
      <c r="K70" s="785"/>
      <c r="L70" s="785"/>
      <c r="M70" s="785"/>
      <c r="N70" s="785"/>
    </row>
    <row r="71" spans="1:14" ht="26.4">
      <c r="A71" s="641" t="s">
        <v>708</v>
      </c>
      <c r="B71" s="637" t="s">
        <v>879</v>
      </c>
      <c r="C71" s="664"/>
      <c r="D71" s="660">
        <v>1100</v>
      </c>
      <c r="E71" s="467"/>
      <c r="F71" s="468"/>
      <c r="G71" s="468"/>
      <c r="H71" s="468"/>
      <c r="I71" s="615">
        <f>E71+G71</f>
        <v>0</v>
      </c>
      <c r="J71" s="615">
        <f>F71+H71</f>
        <v>0</v>
      </c>
      <c r="K71" s="432"/>
      <c r="L71" s="432"/>
      <c r="M71" s="432"/>
      <c r="N71" s="432"/>
    </row>
    <row r="72" spans="1:14">
      <c r="A72" s="633"/>
      <c r="B72" s="634"/>
      <c r="C72" s="661"/>
      <c r="D72" s="636"/>
      <c r="E72" s="752"/>
      <c r="F72" s="608"/>
      <c r="G72" s="608"/>
      <c r="H72" s="608"/>
      <c r="I72" s="608"/>
      <c r="J72" s="608"/>
      <c r="K72" s="432"/>
      <c r="L72" s="432"/>
      <c r="M72" s="432"/>
      <c r="N72" s="432"/>
    </row>
    <row r="73" spans="1:14">
      <c r="A73" s="620" t="s">
        <v>442</v>
      </c>
      <c r="B73" s="629"/>
      <c r="C73" s="661"/>
      <c r="D73" s="621"/>
      <c r="E73" s="751"/>
      <c r="F73" s="612"/>
      <c r="G73" s="612"/>
      <c r="H73" s="612"/>
      <c r="I73" s="612"/>
      <c r="J73" s="612"/>
      <c r="K73" s="432"/>
      <c r="L73" s="432"/>
      <c r="M73" s="432"/>
      <c r="N73" s="432"/>
    </row>
    <row r="74" spans="1:14" ht="39.6">
      <c r="A74" s="631" t="s">
        <v>709</v>
      </c>
      <c r="B74" s="662" t="s">
        <v>880</v>
      </c>
      <c r="C74" s="652"/>
      <c r="D74" s="653">
        <v>1100</v>
      </c>
      <c r="E74" s="471"/>
      <c r="F74" s="470"/>
      <c r="G74" s="470"/>
      <c r="H74" s="470"/>
      <c r="I74" s="624">
        <f>E74+G74</f>
        <v>0</v>
      </c>
      <c r="J74" s="624">
        <f>F74+H74</f>
        <v>0</v>
      </c>
      <c r="K74" s="432"/>
      <c r="L74" s="432"/>
      <c r="M74" s="432"/>
      <c r="N74" s="432"/>
    </row>
    <row r="75" spans="1:14">
      <c r="A75" s="633"/>
      <c r="B75" s="634"/>
      <c r="C75" s="661"/>
      <c r="D75" s="636"/>
      <c r="E75" s="752"/>
      <c r="F75" s="608"/>
      <c r="G75" s="608"/>
      <c r="H75" s="608"/>
      <c r="I75" s="608"/>
      <c r="J75" s="608"/>
      <c r="K75" s="432"/>
      <c r="L75" s="432"/>
      <c r="M75" s="432"/>
      <c r="N75" s="432"/>
    </row>
    <row r="76" spans="1:14">
      <c r="A76" s="620" t="s">
        <v>443</v>
      </c>
      <c r="B76" s="629"/>
      <c r="C76" s="661"/>
      <c r="D76" s="621"/>
      <c r="E76" s="751"/>
      <c r="F76" s="612"/>
      <c r="G76" s="612"/>
      <c r="H76" s="612"/>
      <c r="I76" s="612"/>
      <c r="J76" s="612"/>
      <c r="K76" s="432"/>
      <c r="L76" s="432"/>
      <c r="M76" s="432"/>
      <c r="N76" s="432"/>
    </row>
    <row r="77" spans="1:14" ht="39.6">
      <c r="A77" s="641" t="s">
        <v>710</v>
      </c>
      <c r="B77" s="662" t="s">
        <v>881</v>
      </c>
      <c r="C77" s="652"/>
      <c r="D77" s="653">
        <v>1100</v>
      </c>
      <c r="E77" s="467"/>
      <c r="F77" s="468"/>
      <c r="G77" s="468"/>
      <c r="H77" s="468"/>
      <c r="I77" s="615">
        <f>E77+G77</f>
        <v>0</v>
      </c>
      <c r="J77" s="615">
        <f>F77+H77</f>
        <v>0</v>
      </c>
      <c r="K77" s="432"/>
      <c r="L77" s="432"/>
      <c r="M77" s="432"/>
      <c r="N77" s="432"/>
    </row>
    <row r="78" spans="1:14">
      <c r="A78" s="665" t="s">
        <v>711</v>
      </c>
      <c r="B78" s="654" t="s">
        <v>882</v>
      </c>
      <c r="C78" s="655"/>
      <c r="D78" s="653">
        <v>50</v>
      </c>
      <c r="E78" s="474"/>
      <c r="F78" s="475"/>
      <c r="G78" s="475"/>
      <c r="H78" s="475"/>
      <c r="I78" s="738">
        <f>E78+G78</f>
        <v>0</v>
      </c>
      <c r="J78" s="738">
        <f>F78+H78</f>
        <v>0</v>
      </c>
      <c r="K78" s="432"/>
      <c r="L78" s="432"/>
      <c r="M78" s="432"/>
      <c r="N78" s="432"/>
    </row>
    <row r="79" spans="1:14">
      <c r="A79" s="633"/>
      <c r="B79" s="634"/>
      <c r="C79" s="661"/>
      <c r="D79" s="636"/>
      <c r="E79" s="752"/>
      <c r="F79" s="608"/>
      <c r="G79" s="608"/>
      <c r="H79" s="608"/>
      <c r="I79" s="608"/>
      <c r="J79" s="608"/>
      <c r="K79" s="432"/>
      <c r="L79" s="432"/>
      <c r="M79" s="432"/>
      <c r="N79" s="432"/>
    </row>
    <row r="80" spans="1:14">
      <c r="A80" s="666"/>
      <c r="B80" s="642"/>
      <c r="C80" s="667"/>
      <c r="D80" s="643"/>
      <c r="E80" s="749"/>
      <c r="F80" s="735"/>
      <c r="G80" s="735"/>
      <c r="H80" s="735"/>
      <c r="I80" s="735"/>
      <c r="J80" s="735"/>
      <c r="K80" s="432"/>
      <c r="L80" s="432"/>
      <c r="M80" s="432"/>
      <c r="N80" s="432"/>
    </row>
    <row r="81" spans="1:14">
      <c r="A81" s="784" t="s">
        <v>883</v>
      </c>
      <c r="B81" s="596"/>
      <c r="C81" s="648"/>
      <c r="D81" s="648"/>
      <c r="E81" s="597"/>
      <c r="F81" s="597"/>
      <c r="G81" s="597"/>
      <c r="H81" s="597"/>
      <c r="I81" s="597"/>
      <c r="J81" s="597"/>
      <c r="K81" s="432"/>
      <c r="L81" s="432"/>
      <c r="M81" s="432"/>
      <c r="N81" s="432"/>
    </row>
    <row r="82" spans="1:14">
      <c r="A82" s="668" t="s">
        <v>444</v>
      </c>
      <c r="B82" s="599"/>
      <c r="C82" s="669"/>
      <c r="D82" s="669"/>
      <c r="E82" s="751"/>
      <c r="F82" s="612"/>
      <c r="G82" s="612"/>
      <c r="H82" s="612"/>
      <c r="I82" s="612"/>
      <c r="J82" s="612"/>
      <c r="K82" s="432"/>
      <c r="L82" s="432"/>
      <c r="M82" s="432"/>
      <c r="N82" s="432"/>
    </row>
    <row r="83" spans="1:14" ht="26.4">
      <c r="A83" s="631" t="s">
        <v>712</v>
      </c>
      <c r="B83" s="670" t="s">
        <v>884</v>
      </c>
      <c r="C83" s="659"/>
      <c r="D83" s="660">
        <v>2500</v>
      </c>
      <c r="E83" s="471"/>
      <c r="F83" s="470"/>
      <c r="G83" s="470"/>
      <c r="H83" s="470"/>
      <c r="I83" s="624">
        <f>E83+G83</f>
        <v>0</v>
      </c>
      <c r="J83" s="624">
        <f>F83+H83</f>
        <v>0</v>
      </c>
      <c r="K83" s="432"/>
      <c r="L83" s="432"/>
      <c r="M83" s="432"/>
      <c r="N83" s="432"/>
    </row>
    <row r="84" spans="1:14">
      <c r="A84" s="633"/>
      <c r="B84" s="671"/>
      <c r="C84" s="661"/>
      <c r="D84" s="636"/>
      <c r="E84" s="752"/>
      <c r="F84" s="608"/>
      <c r="G84" s="608"/>
      <c r="H84" s="608"/>
      <c r="I84" s="608"/>
      <c r="J84" s="608"/>
      <c r="K84" s="432"/>
      <c r="L84" s="432"/>
      <c r="M84" s="432"/>
      <c r="N84" s="432"/>
    </row>
    <row r="85" spans="1:14">
      <c r="A85" s="620" t="s">
        <v>445</v>
      </c>
      <c r="B85" s="629"/>
      <c r="C85" s="661"/>
      <c r="D85" s="621"/>
      <c r="E85" s="751"/>
      <c r="F85" s="612"/>
      <c r="G85" s="612"/>
      <c r="H85" s="612"/>
      <c r="I85" s="612"/>
      <c r="J85" s="612"/>
      <c r="K85" s="432"/>
      <c r="L85" s="432"/>
      <c r="M85" s="432"/>
      <c r="N85" s="432"/>
    </row>
    <row r="86" spans="1:14">
      <c r="A86" s="631" t="s">
        <v>713</v>
      </c>
      <c r="B86" s="662" t="s">
        <v>885</v>
      </c>
      <c r="C86" s="652"/>
      <c r="D86" s="653">
        <v>2500</v>
      </c>
      <c r="E86" s="471"/>
      <c r="F86" s="470"/>
      <c r="G86" s="470"/>
      <c r="H86" s="470"/>
      <c r="I86" s="624">
        <f>E86+G86</f>
        <v>0</v>
      </c>
      <c r="J86" s="624">
        <f>F86+H86</f>
        <v>0</v>
      </c>
      <c r="K86" s="432"/>
      <c r="L86" s="432"/>
      <c r="M86" s="432"/>
      <c r="N86" s="432"/>
    </row>
    <row r="87" spans="1:14">
      <c r="A87" s="633"/>
      <c r="B87" s="671"/>
      <c r="C87" s="661"/>
      <c r="D87" s="636"/>
      <c r="E87" s="752"/>
      <c r="F87" s="608"/>
      <c r="G87" s="608"/>
      <c r="H87" s="608"/>
      <c r="I87" s="608"/>
      <c r="J87" s="608"/>
      <c r="K87" s="432"/>
      <c r="L87" s="432"/>
      <c r="M87" s="432"/>
      <c r="N87" s="432"/>
    </row>
    <row r="88" spans="1:14">
      <c r="A88" s="620" t="s">
        <v>886</v>
      </c>
      <c r="B88" s="629"/>
      <c r="C88" s="661"/>
      <c r="D88" s="621"/>
      <c r="E88" s="749"/>
      <c r="F88" s="735"/>
      <c r="G88" s="735"/>
      <c r="H88" s="735"/>
      <c r="I88" s="612"/>
      <c r="J88" s="612"/>
      <c r="K88" s="432"/>
      <c r="L88" s="432"/>
      <c r="M88" s="432"/>
      <c r="N88" s="432"/>
    </row>
    <row r="89" spans="1:14" ht="26.4">
      <c r="A89" s="672" t="s">
        <v>714</v>
      </c>
      <c r="B89" s="673" t="s">
        <v>887</v>
      </c>
      <c r="C89" s="674"/>
      <c r="D89" s="675">
        <v>1300</v>
      </c>
      <c r="E89" s="465"/>
      <c r="F89" s="466"/>
      <c r="G89" s="466"/>
      <c r="H89" s="466"/>
      <c r="I89" s="739">
        <f>E89+G89</f>
        <v>0</v>
      </c>
      <c r="J89" s="740">
        <f>F89+H89</f>
        <v>0</v>
      </c>
      <c r="K89" s="432"/>
      <c r="L89" s="432"/>
      <c r="M89" s="432"/>
      <c r="N89" s="432"/>
    </row>
    <row r="90" spans="1:14">
      <c r="A90" s="676"/>
      <c r="B90" s="677"/>
      <c r="C90" s="678"/>
      <c r="D90" s="679"/>
      <c r="E90" s="748"/>
      <c r="F90" s="618"/>
      <c r="G90" s="618"/>
      <c r="H90" s="618"/>
      <c r="I90" s="741"/>
      <c r="J90" s="741"/>
      <c r="K90" s="432"/>
      <c r="L90" s="432"/>
      <c r="M90" s="432"/>
      <c r="N90" s="432"/>
    </row>
    <row r="91" spans="1:14">
      <c r="A91" s="680" t="s">
        <v>888</v>
      </c>
      <c r="B91" s="681"/>
      <c r="C91" s="678"/>
      <c r="D91" s="621"/>
      <c r="E91" s="751"/>
      <c r="F91" s="612"/>
      <c r="G91" s="612"/>
      <c r="H91" s="612"/>
      <c r="I91" s="585"/>
      <c r="J91" s="585"/>
      <c r="K91" s="432"/>
      <c r="L91" s="432"/>
      <c r="M91" s="432"/>
      <c r="N91" s="432"/>
    </row>
    <row r="92" spans="1:14" ht="26.4">
      <c r="A92" s="682" t="s">
        <v>715</v>
      </c>
      <c r="B92" s="683" t="s">
        <v>889</v>
      </c>
      <c r="C92" s="684"/>
      <c r="D92" s="685">
        <v>1300</v>
      </c>
      <c r="E92" s="465"/>
      <c r="F92" s="466"/>
      <c r="G92" s="466"/>
      <c r="H92" s="466"/>
      <c r="I92" s="742">
        <f>E92+G92</f>
        <v>0</v>
      </c>
      <c r="J92" s="742">
        <f>F92+H92</f>
        <v>0</v>
      </c>
      <c r="K92" s="432"/>
      <c r="L92" s="432"/>
      <c r="M92" s="432"/>
      <c r="N92" s="432"/>
    </row>
    <row r="93" spans="1:14">
      <c r="A93" s="686"/>
      <c r="B93" s="687"/>
      <c r="C93" s="688"/>
      <c r="D93" s="689"/>
      <c r="E93" s="753"/>
      <c r="F93" s="754"/>
      <c r="G93" s="754"/>
      <c r="H93" s="754"/>
      <c r="I93" s="743"/>
      <c r="J93" s="743"/>
      <c r="K93" s="432"/>
      <c r="L93" s="432"/>
      <c r="M93" s="432"/>
      <c r="N93" s="432"/>
    </row>
    <row r="94" spans="1:14">
      <c r="A94" s="690" t="s">
        <v>453</v>
      </c>
      <c r="B94" s="691"/>
      <c r="C94" s="692"/>
      <c r="D94" s="669"/>
      <c r="E94" s="751"/>
      <c r="F94" s="612"/>
      <c r="G94" s="612"/>
      <c r="H94" s="612"/>
      <c r="I94" s="585"/>
      <c r="J94" s="585"/>
      <c r="K94" s="432"/>
      <c r="L94" s="432"/>
      <c r="M94" s="432"/>
      <c r="N94" s="432"/>
    </row>
    <row r="95" spans="1:14" ht="26.4">
      <c r="A95" s="581" t="s">
        <v>716</v>
      </c>
      <c r="B95" s="693" t="s">
        <v>890</v>
      </c>
      <c r="C95" s="694"/>
      <c r="D95" s="695">
        <v>1300</v>
      </c>
      <c r="E95" s="465"/>
      <c r="F95" s="466"/>
      <c r="G95" s="466"/>
      <c r="H95" s="466"/>
      <c r="I95" s="740">
        <f>E95+G95</f>
        <v>0</v>
      </c>
      <c r="J95" s="740">
        <f>F95+H95</f>
        <v>0</v>
      </c>
      <c r="K95" s="432"/>
      <c r="L95" s="432"/>
      <c r="M95" s="432"/>
      <c r="N95" s="432"/>
    </row>
    <row r="96" spans="1:14">
      <c r="A96" s="666"/>
      <c r="B96" s="696"/>
      <c r="C96" s="661"/>
      <c r="D96" s="679"/>
      <c r="E96" s="748"/>
      <c r="F96" s="618"/>
      <c r="G96" s="618"/>
      <c r="H96" s="618"/>
      <c r="I96" s="618"/>
      <c r="J96" s="618"/>
      <c r="K96" s="432"/>
      <c r="L96" s="432"/>
      <c r="M96" s="432"/>
      <c r="N96" s="432"/>
    </row>
    <row r="97" spans="1:15">
      <c r="A97" s="697" t="s">
        <v>454</v>
      </c>
      <c r="B97" s="642"/>
      <c r="C97" s="667"/>
      <c r="D97" s="643"/>
      <c r="E97" s="749"/>
      <c r="F97" s="735"/>
      <c r="G97" s="735"/>
      <c r="H97" s="735"/>
      <c r="I97" s="735"/>
      <c r="J97" s="735"/>
      <c r="K97" s="432"/>
      <c r="L97" s="432"/>
      <c r="M97" s="432"/>
      <c r="N97" s="432"/>
    </row>
    <row r="98" spans="1:15">
      <c r="A98" s="698" t="s">
        <v>891</v>
      </c>
      <c r="B98" s="699" t="s">
        <v>455</v>
      </c>
      <c r="C98" s="700"/>
      <c r="D98" s="605">
        <v>1100</v>
      </c>
      <c r="E98" s="465"/>
      <c r="F98" s="466"/>
      <c r="G98" s="466"/>
      <c r="H98" s="466"/>
      <c r="I98" s="734">
        <f>E98+G98</f>
        <v>0</v>
      </c>
      <c r="J98" s="734">
        <f>F98+H98</f>
        <v>0</v>
      </c>
      <c r="K98" s="432"/>
      <c r="L98" s="432"/>
      <c r="M98" s="432"/>
      <c r="N98" s="432"/>
    </row>
    <row r="99" spans="1:15">
      <c r="A99" s="610"/>
      <c r="B99" s="701"/>
      <c r="C99" s="667"/>
      <c r="D99" s="643"/>
      <c r="E99" s="749"/>
      <c r="F99" s="735"/>
      <c r="G99" s="735"/>
      <c r="H99" s="735"/>
      <c r="I99" s="735"/>
      <c r="J99" s="735"/>
      <c r="K99" s="432"/>
      <c r="L99" s="432"/>
      <c r="M99" s="432"/>
      <c r="N99" s="432"/>
    </row>
    <row r="100" spans="1:15">
      <c r="A100" s="648" t="s">
        <v>892</v>
      </c>
      <c r="B100" s="702"/>
      <c r="C100" s="703"/>
      <c r="D100" s="703"/>
      <c r="E100" s="616"/>
      <c r="F100" s="616"/>
      <c r="G100" s="616"/>
      <c r="H100" s="616"/>
      <c r="I100" s="616"/>
      <c r="J100" s="616"/>
      <c r="K100" s="432"/>
      <c r="L100" s="432"/>
      <c r="M100" s="432"/>
      <c r="N100" s="432"/>
    </row>
    <row r="101" spans="1:15">
      <c r="A101" s="704" t="s">
        <v>893</v>
      </c>
      <c r="B101" s="705"/>
      <c r="C101" s="706"/>
      <c r="D101" s="706"/>
      <c r="E101" s="748"/>
      <c r="F101" s="618"/>
      <c r="G101" s="618"/>
      <c r="H101" s="618"/>
      <c r="I101" s="618"/>
      <c r="J101" s="618"/>
      <c r="K101" s="432"/>
      <c r="L101" s="432"/>
      <c r="M101" s="432"/>
      <c r="N101" s="432"/>
    </row>
    <row r="102" spans="1:15">
      <c r="A102" s="707" t="s">
        <v>717</v>
      </c>
      <c r="B102" s="651" t="s">
        <v>894</v>
      </c>
      <c r="C102" s="652"/>
      <c r="D102" s="605">
        <v>1100</v>
      </c>
      <c r="E102" s="466"/>
      <c r="F102" s="466"/>
      <c r="G102" s="466"/>
      <c r="H102" s="466"/>
      <c r="I102" s="764">
        <v>0</v>
      </c>
      <c r="J102" s="734">
        <f>F102+H102</f>
        <v>0</v>
      </c>
      <c r="K102" s="432"/>
      <c r="L102" s="432"/>
      <c r="M102" s="432"/>
      <c r="N102" s="432"/>
    </row>
    <row r="103" spans="1:15">
      <c r="A103" s="704"/>
      <c r="B103" s="705"/>
      <c r="C103" s="706"/>
      <c r="D103" s="706"/>
      <c r="E103" s="748"/>
      <c r="F103" s="618"/>
      <c r="G103" s="618"/>
      <c r="H103" s="618"/>
      <c r="I103" s="618"/>
      <c r="J103" s="618"/>
      <c r="K103" s="432"/>
      <c r="L103" s="432"/>
      <c r="M103" s="432"/>
      <c r="N103" s="432"/>
    </row>
    <row r="104" spans="1:15">
      <c r="A104" s="704" t="s">
        <v>895</v>
      </c>
      <c r="B104" s="705"/>
      <c r="C104" s="706"/>
      <c r="D104" s="706"/>
      <c r="E104" s="748"/>
      <c r="F104" s="618"/>
      <c r="G104" s="618"/>
      <c r="H104" s="618"/>
      <c r="I104" s="618"/>
      <c r="J104" s="618"/>
      <c r="K104" s="432"/>
      <c r="L104" s="432"/>
      <c r="M104" s="432"/>
      <c r="N104" s="432"/>
    </row>
    <row r="105" spans="1:15">
      <c r="A105" s="707" t="s">
        <v>718</v>
      </c>
      <c r="B105" s="651" t="s">
        <v>896</v>
      </c>
      <c r="C105" s="708"/>
      <c r="D105" s="605">
        <v>1100</v>
      </c>
      <c r="E105" s="466"/>
      <c r="F105" s="466"/>
      <c r="G105" s="466"/>
      <c r="H105" s="466"/>
      <c r="I105" s="734">
        <f>E105+G105</f>
        <v>0</v>
      </c>
      <c r="J105" s="734">
        <f>F105+H105</f>
        <v>0</v>
      </c>
      <c r="K105" s="432"/>
      <c r="L105" s="432"/>
      <c r="M105" s="432"/>
      <c r="N105" s="432"/>
    </row>
    <row r="106" spans="1:15">
      <c r="A106" s="704"/>
      <c r="B106" s="705"/>
      <c r="C106" s="706"/>
      <c r="D106" s="706"/>
      <c r="E106" s="748"/>
      <c r="F106" s="618"/>
      <c r="G106" s="618"/>
      <c r="H106" s="618"/>
      <c r="I106" s="618"/>
      <c r="J106" s="618"/>
      <c r="K106" s="432"/>
      <c r="L106" s="432"/>
      <c r="M106" s="432"/>
      <c r="N106" s="432"/>
    </row>
    <row r="107" spans="1:15">
      <c r="A107" s="704" t="s">
        <v>897</v>
      </c>
      <c r="B107" s="705"/>
      <c r="C107" s="706"/>
      <c r="D107" s="706"/>
      <c r="E107" s="748"/>
      <c r="F107" s="618"/>
      <c r="G107" s="618"/>
      <c r="H107" s="618"/>
      <c r="I107" s="618"/>
      <c r="J107" s="618"/>
      <c r="K107" s="432"/>
      <c r="L107" s="432"/>
      <c r="M107" s="432"/>
      <c r="N107" s="432"/>
    </row>
    <row r="108" spans="1:15">
      <c r="A108" s="707" t="s">
        <v>719</v>
      </c>
      <c r="B108" s="651" t="s">
        <v>898</v>
      </c>
      <c r="C108" s="708"/>
      <c r="D108" s="605">
        <v>1100</v>
      </c>
      <c r="E108" s="466"/>
      <c r="F108" s="466"/>
      <c r="G108" s="466"/>
      <c r="H108" s="466"/>
      <c r="I108" s="734">
        <f>E108+G108</f>
        <v>0</v>
      </c>
      <c r="J108" s="734">
        <f>F108+H108</f>
        <v>0</v>
      </c>
      <c r="K108" s="432"/>
      <c r="L108" s="432"/>
      <c r="M108" s="432"/>
      <c r="N108" s="432"/>
    </row>
    <row r="109" spans="1:15">
      <c r="A109" s="704"/>
      <c r="B109" s="705"/>
      <c r="C109" s="706"/>
      <c r="D109" s="706"/>
      <c r="E109" s="748"/>
      <c r="F109" s="618"/>
      <c r="G109" s="618"/>
      <c r="H109" s="618"/>
      <c r="I109" s="618"/>
      <c r="J109" s="618"/>
      <c r="K109" s="432"/>
      <c r="L109" s="432"/>
      <c r="M109" s="432"/>
      <c r="N109" s="432"/>
    </row>
    <row r="110" spans="1:15">
      <c r="A110" s="668" t="s">
        <v>899</v>
      </c>
      <c r="B110" s="599"/>
      <c r="C110" s="706"/>
      <c r="D110" s="669"/>
      <c r="E110" s="751"/>
      <c r="F110" s="612"/>
      <c r="G110" s="612"/>
      <c r="H110" s="612"/>
      <c r="I110" s="612"/>
      <c r="J110" s="612"/>
      <c r="K110" s="785"/>
      <c r="L110" s="785"/>
      <c r="M110" s="785"/>
      <c r="N110" s="785"/>
      <c r="O110" s="13"/>
    </row>
    <row r="111" spans="1:15" ht="26.4">
      <c r="A111" s="631" t="s">
        <v>720</v>
      </c>
      <c r="B111" s="651" t="s">
        <v>900</v>
      </c>
      <c r="C111" s="652"/>
      <c r="D111" s="605">
        <v>1100</v>
      </c>
      <c r="E111" s="787"/>
      <c r="F111" s="786"/>
      <c r="G111" s="786"/>
      <c r="H111" s="786"/>
      <c r="I111" s="624">
        <f>E111+G111</f>
        <v>0</v>
      </c>
      <c r="J111" s="624">
        <f>F111+H111</f>
        <v>0</v>
      </c>
      <c r="K111" s="432"/>
      <c r="L111" s="432"/>
      <c r="M111" s="432"/>
      <c r="N111" s="432"/>
    </row>
    <row r="112" spans="1:15">
      <c r="A112" s="633"/>
      <c r="B112" s="634"/>
      <c r="C112" s="661"/>
      <c r="D112" s="636"/>
      <c r="E112" s="752"/>
      <c r="F112" s="608"/>
      <c r="G112" s="608"/>
      <c r="H112" s="608"/>
      <c r="I112" s="608"/>
      <c r="J112" s="608"/>
      <c r="K112" s="432"/>
      <c r="L112" s="432"/>
      <c r="M112" s="432"/>
      <c r="N112" s="432"/>
    </row>
    <row r="113" spans="1:15">
      <c r="A113" s="620" t="s">
        <v>446</v>
      </c>
      <c r="B113" s="629"/>
      <c r="C113" s="661"/>
      <c r="D113" s="621"/>
      <c r="E113" s="751"/>
      <c r="F113" s="612"/>
      <c r="G113" s="612"/>
      <c r="H113" s="612"/>
      <c r="I113" s="612"/>
      <c r="J113" s="612"/>
      <c r="K113" s="432"/>
      <c r="L113" s="432"/>
      <c r="M113" s="432"/>
      <c r="N113" s="432"/>
    </row>
    <row r="114" spans="1:15">
      <c r="A114" s="641" t="s">
        <v>901</v>
      </c>
      <c r="B114" s="654" t="s">
        <v>447</v>
      </c>
      <c r="C114" s="655"/>
      <c r="D114" s="605">
        <v>1100</v>
      </c>
      <c r="E114" s="763"/>
      <c r="F114" s="468"/>
      <c r="G114" s="468"/>
      <c r="H114" s="468"/>
      <c r="I114" s="615">
        <f>E114+G114</f>
        <v>0</v>
      </c>
      <c r="J114" s="615">
        <f>F114+H114</f>
        <v>0</v>
      </c>
      <c r="K114" s="432"/>
      <c r="L114" s="432"/>
      <c r="M114" s="432"/>
      <c r="N114" s="432"/>
    </row>
    <row r="115" spans="1:15">
      <c r="A115" s="633"/>
      <c r="B115" s="634"/>
      <c r="C115" s="661"/>
      <c r="D115" s="636"/>
      <c r="E115" s="752"/>
      <c r="F115" s="608"/>
      <c r="G115" s="608"/>
      <c r="H115" s="608"/>
      <c r="I115" s="608"/>
      <c r="J115" s="608"/>
      <c r="K115" s="432"/>
      <c r="L115" s="432"/>
      <c r="M115" s="432"/>
      <c r="N115" s="432"/>
    </row>
    <row r="116" spans="1:15">
      <c r="A116" s="709" t="s">
        <v>902</v>
      </c>
      <c r="B116" s="702"/>
      <c r="C116" s="703"/>
      <c r="D116" s="703"/>
      <c r="E116" s="616"/>
      <c r="F116" s="616"/>
      <c r="G116" s="616"/>
      <c r="H116" s="616"/>
      <c r="I116" s="616"/>
      <c r="J116" s="616"/>
      <c r="K116" s="432"/>
      <c r="L116" s="432"/>
      <c r="M116" s="432"/>
      <c r="N116" s="432"/>
    </row>
    <row r="117" spans="1:15">
      <c r="A117" s="598" t="s">
        <v>448</v>
      </c>
      <c r="B117" s="710"/>
      <c r="C117" s="711"/>
      <c r="D117" s="711"/>
      <c r="E117" s="749"/>
      <c r="F117" s="735"/>
      <c r="G117" s="735"/>
      <c r="H117" s="735"/>
      <c r="I117" s="735"/>
      <c r="J117" s="735"/>
      <c r="K117" s="432"/>
      <c r="L117" s="432"/>
      <c r="M117" s="432"/>
      <c r="N117" s="432"/>
    </row>
    <row r="118" spans="1:15">
      <c r="A118" s="712" t="s">
        <v>721</v>
      </c>
      <c r="B118" s="713" t="s">
        <v>449</v>
      </c>
      <c r="C118" s="714"/>
      <c r="D118" s="605">
        <v>1100</v>
      </c>
      <c r="E118" s="465"/>
      <c r="F118" s="466"/>
      <c r="G118" s="466"/>
      <c r="H118" s="466"/>
      <c r="I118" s="734">
        <f>E118+G118</f>
        <v>0</v>
      </c>
      <c r="J118" s="734">
        <f>F118+H118</f>
        <v>0</v>
      </c>
      <c r="K118" s="432"/>
      <c r="L118" s="432"/>
      <c r="M118" s="432"/>
      <c r="N118" s="432"/>
    </row>
    <row r="119" spans="1:15">
      <c r="A119" s="703"/>
      <c r="B119" s="702"/>
      <c r="C119" s="703"/>
      <c r="D119" s="703"/>
      <c r="E119" s="616"/>
      <c r="F119" s="616"/>
      <c r="G119" s="616"/>
      <c r="H119" s="616"/>
      <c r="I119" s="616"/>
      <c r="J119" s="616"/>
      <c r="K119" s="432"/>
      <c r="L119" s="432"/>
      <c r="M119" s="432"/>
      <c r="N119" s="432"/>
    </row>
    <row r="120" spans="1:15">
      <c r="A120" s="648" t="s">
        <v>903</v>
      </c>
      <c r="B120" s="702"/>
      <c r="C120" s="703"/>
      <c r="D120" s="703"/>
      <c r="E120" s="616"/>
      <c r="F120" s="616"/>
      <c r="G120" s="616"/>
      <c r="H120" s="616"/>
      <c r="I120" s="616"/>
      <c r="J120" s="616"/>
      <c r="K120" s="432"/>
      <c r="L120" s="432"/>
      <c r="M120" s="432"/>
      <c r="N120" s="432"/>
    </row>
    <row r="121" spans="1:15">
      <c r="A121" s="668" t="s">
        <v>904</v>
      </c>
      <c r="B121" s="599"/>
      <c r="C121" s="706"/>
      <c r="D121" s="669"/>
      <c r="E121" s="751"/>
      <c r="F121" s="612"/>
      <c r="G121" s="612"/>
      <c r="H121" s="612"/>
      <c r="I121" s="612"/>
      <c r="J121" s="612"/>
      <c r="K121" s="432"/>
      <c r="L121" s="432"/>
      <c r="M121" s="432"/>
      <c r="N121" s="432"/>
    </row>
    <row r="122" spans="1:15">
      <c r="A122" s="631" t="s">
        <v>905</v>
      </c>
      <c r="B122" s="715" t="s">
        <v>906</v>
      </c>
      <c r="C122" s="655"/>
      <c r="D122" s="653">
        <v>1100</v>
      </c>
      <c r="E122" s="471"/>
      <c r="F122" s="470"/>
      <c r="G122" s="470"/>
      <c r="H122" s="470"/>
      <c r="I122" s="624">
        <f>E122+G122</f>
        <v>0</v>
      </c>
      <c r="J122" s="624">
        <f>F122+H122</f>
        <v>0</v>
      </c>
      <c r="K122" s="432"/>
      <c r="L122" s="432"/>
      <c r="M122" s="432"/>
      <c r="N122" s="432"/>
    </row>
    <row r="123" spans="1:15">
      <c r="A123" s="633"/>
      <c r="B123" s="671"/>
      <c r="C123" s="661"/>
      <c r="D123" s="636"/>
      <c r="E123" s="752"/>
      <c r="F123" s="608"/>
      <c r="G123" s="608"/>
      <c r="H123" s="608"/>
      <c r="I123" s="608"/>
      <c r="J123" s="608"/>
      <c r="K123" s="785"/>
      <c r="L123" s="785"/>
      <c r="M123" s="785"/>
      <c r="N123" s="785"/>
      <c r="O123" s="13"/>
    </row>
    <row r="124" spans="1:15">
      <c r="A124" s="709" t="s">
        <v>907</v>
      </c>
      <c r="B124" s="716"/>
      <c r="C124" s="661"/>
      <c r="D124" s="679"/>
      <c r="E124" s="748"/>
      <c r="F124" s="618"/>
      <c r="G124" s="618"/>
      <c r="H124" s="618"/>
      <c r="I124" s="618"/>
      <c r="J124" s="618"/>
      <c r="K124" s="432"/>
      <c r="L124" s="432"/>
      <c r="M124" s="432"/>
      <c r="N124" s="432"/>
    </row>
    <row r="125" spans="1:15">
      <c r="A125" s="650" t="s">
        <v>908</v>
      </c>
      <c r="B125" s="715" t="s">
        <v>909</v>
      </c>
      <c r="C125" s="655"/>
      <c r="D125" s="653">
        <v>1100</v>
      </c>
      <c r="E125" s="472"/>
      <c r="F125" s="473"/>
      <c r="G125" s="473"/>
      <c r="H125" s="473"/>
      <c r="I125" s="737">
        <f>E125+G125</f>
        <v>0</v>
      </c>
      <c r="J125" s="737">
        <f>F125+H125</f>
        <v>0</v>
      </c>
      <c r="K125" s="432"/>
      <c r="L125" s="432"/>
      <c r="M125" s="432"/>
      <c r="N125" s="432"/>
    </row>
    <row r="126" spans="1:15">
      <c r="A126" s="703"/>
      <c r="B126" s="716"/>
      <c r="C126" s="661"/>
      <c r="D126" s="679"/>
      <c r="E126" s="748"/>
      <c r="F126" s="618"/>
      <c r="G126" s="618"/>
      <c r="H126" s="618"/>
      <c r="I126" s="618"/>
      <c r="J126" s="618"/>
      <c r="K126" s="432"/>
      <c r="L126" s="432"/>
      <c r="M126" s="432"/>
      <c r="N126" s="432"/>
    </row>
    <row r="127" spans="1:15">
      <c r="A127" s="709" t="s">
        <v>910</v>
      </c>
      <c r="B127" s="716"/>
      <c r="C127" s="661"/>
      <c r="D127" s="679"/>
      <c r="E127" s="748"/>
      <c r="F127" s="618"/>
      <c r="G127" s="618"/>
      <c r="H127" s="618"/>
      <c r="I127" s="618"/>
      <c r="J127" s="618"/>
      <c r="K127" s="432"/>
      <c r="L127" s="432"/>
      <c r="M127" s="432"/>
      <c r="N127" s="432"/>
    </row>
    <row r="128" spans="1:15">
      <c r="A128" s="650" t="s">
        <v>911</v>
      </c>
      <c r="B128" s="715" t="s">
        <v>912</v>
      </c>
      <c r="C128" s="655"/>
      <c r="D128" s="653">
        <v>1100</v>
      </c>
      <c r="E128" s="472"/>
      <c r="F128" s="473"/>
      <c r="G128" s="473"/>
      <c r="H128" s="473"/>
      <c r="I128" s="737">
        <f>E128+G128</f>
        <v>0</v>
      </c>
      <c r="J128" s="737">
        <f>F128+H128</f>
        <v>0</v>
      </c>
      <c r="K128" s="432"/>
      <c r="L128" s="432"/>
      <c r="M128" s="432"/>
      <c r="N128" s="432"/>
    </row>
    <row r="129" spans="1:14">
      <c r="A129" s="709"/>
      <c r="B129" s="716"/>
      <c r="C129" s="661"/>
      <c r="D129" s="679"/>
      <c r="E129" s="748"/>
      <c r="F129" s="618"/>
      <c r="G129" s="618"/>
      <c r="H129" s="618"/>
      <c r="I129" s="618"/>
      <c r="J129" s="618"/>
      <c r="K129" s="432"/>
      <c r="L129" s="432"/>
      <c r="M129" s="432"/>
      <c r="N129" s="432"/>
    </row>
    <row r="130" spans="1:14">
      <c r="A130" s="709" t="s">
        <v>913</v>
      </c>
      <c r="B130" s="716"/>
      <c r="C130" s="661"/>
      <c r="D130" s="679"/>
      <c r="E130" s="748"/>
      <c r="F130" s="618"/>
      <c r="G130" s="618"/>
      <c r="H130" s="618"/>
      <c r="I130" s="618"/>
      <c r="J130" s="618"/>
      <c r="K130" s="432"/>
      <c r="L130" s="432"/>
      <c r="M130" s="432"/>
      <c r="N130" s="432"/>
    </row>
    <row r="131" spans="1:14">
      <c r="A131" s="717" t="s">
        <v>914</v>
      </c>
      <c r="B131" s="718" t="s">
        <v>915</v>
      </c>
      <c r="C131" s="719"/>
      <c r="D131" s="590">
        <v>1100</v>
      </c>
      <c r="E131" s="472"/>
      <c r="F131" s="473"/>
      <c r="G131" s="473"/>
      <c r="H131" s="473"/>
      <c r="I131" s="589">
        <f>E131+G131</f>
        <v>0</v>
      </c>
      <c r="J131" s="589">
        <f>F131+H131</f>
        <v>0</v>
      </c>
      <c r="K131" s="432"/>
      <c r="L131" s="432"/>
      <c r="M131" s="432"/>
      <c r="N131" s="432"/>
    </row>
    <row r="132" spans="1:14">
      <c r="A132" s="709"/>
      <c r="B132" s="716"/>
      <c r="C132" s="661"/>
      <c r="D132" s="679"/>
      <c r="E132" s="748"/>
      <c r="F132" s="618"/>
      <c r="G132" s="618"/>
      <c r="H132" s="618"/>
      <c r="I132" s="618"/>
      <c r="J132" s="618"/>
      <c r="K132" s="432"/>
      <c r="L132" s="432"/>
      <c r="M132" s="432"/>
      <c r="N132" s="432"/>
    </row>
    <row r="133" spans="1:14">
      <c r="A133" s="648" t="s">
        <v>916</v>
      </c>
      <c r="B133" s="702"/>
      <c r="C133" s="703"/>
      <c r="D133" s="703"/>
      <c r="E133" s="616"/>
      <c r="F133" s="616"/>
      <c r="G133" s="616"/>
      <c r="H133" s="616"/>
      <c r="I133" s="616"/>
      <c r="J133" s="616"/>
      <c r="K133" s="432"/>
      <c r="L133" s="432"/>
      <c r="M133" s="432"/>
      <c r="N133" s="432"/>
    </row>
    <row r="134" spans="1:14">
      <c r="A134" s="598" t="s">
        <v>450</v>
      </c>
      <c r="B134" s="710"/>
      <c r="C134" s="711"/>
      <c r="D134" s="711"/>
      <c r="E134" s="749"/>
      <c r="F134" s="735"/>
      <c r="G134" s="735"/>
      <c r="H134" s="735"/>
      <c r="I134" s="735"/>
      <c r="J134" s="735"/>
      <c r="K134" s="432"/>
      <c r="L134" s="432"/>
      <c r="M134" s="432"/>
      <c r="N134" s="432"/>
    </row>
    <row r="135" spans="1:14" ht="26.4">
      <c r="A135" s="712" t="s">
        <v>722</v>
      </c>
      <c r="B135" s="720" t="s">
        <v>917</v>
      </c>
      <c r="C135" s="700"/>
      <c r="D135" s="653">
        <v>1100</v>
      </c>
      <c r="E135" s="465"/>
      <c r="F135" s="466"/>
      <c r="G135" s="466"/>
      <c r="H135" s="466"/>
      <c r="I135" s="734">
        <f>E135+G135</f>
        <v>0</v>
      </c>
      <c r="J135" s="734">
        <f>F135+H135</f>
        <v>0</v>
      </c>
      <c r="K135" s="432"/>
      <c r="L135" s="432"/>
      <c r="M135" s="432"/>
      <c r="N135" s="432"/>
    </row>
    <row r="136" spans="1:14">
      <c r="A136" s="666"/>
      <c r="B136" s="721"/>
      <c r="C136" s="722"/>
      <c r="D136" s="643"/>
      <c r="E136" s="20"/>
      <c r="F136" s="755"/>
      <c r="G136" s="755"/>
      <c r="H136" s="755"/>
      <c r="I136" s="735"/>
      <c r="J136" s="735"/>
      <c r="K136" s="432"/>
      <c r="L136" s="432"/>
      <c r="M136" s="432"/>
      <c r="N136" s="432"/>
    </row>
    <row r="137" spans="1:14">
      <c r="A137" s="869" t="s">
        <v>918</v>
      </c>
      <c r="B137" s="869"/>
      <c r="C137" s="703"/>
      <c r="D137" s="703"/>
      <c r="E137" s="616"/>
      <c r="F137" s="616"/>
      <c r="G137" s="616"/>
      <c r="H137" s="616"/>
      <c r="I137" s="616"/>
      <c r="J137" s="616"/>
      <c r="K137" s="432"/>
      <c r="L137" s="432"/>
      <c r="M137" s="432"/>
      <c r="N137" s="432"/>
    </row>
    <row r="138" spans="1:14">
      <c r="A138" s="620" t="s">
        <v>919</v>
      </c>
      <c r="B138" s="723"/>
      <c r="C138" s="709"/>
      <c r="D138" s="620"/>
      <c r="E138" s="744"/>
      <c r="F138" s="744"/>
      <c r="G138" s="744"/>
      <c r="H138" s="761"/>
      <c r="I138" s="744"/>
      <c r="J138" s="744"/>
      <c r="K138" s="432"/>
      <c r="L138" s="432"/>
      <c r="M138" s="432"/>
      <c r="N138" s="432"/>
    </row>
    <row r="139" spans="1:14">
      <c r="A139" s="641" t="s">
        <v>723</v>
      </c>
      <c r="B139" s="662" t="s">
        <v>920</v>
      </c>
      <c r="C139" s="652"/>
      <c r="D139" s="653">
        <v>2500</v>
      </c>
      <c r="E139" s="467"/>
      <c r="F139" s="468"/>
      <c r="G139" s="759"/>
      <c r="H139" s="466"/>
      <c r="I139" s="760">
        <f>E139+G139</f>
        <v>0</v>
      </c>
      <c r="J139" s="615">
        <f>F139+H139</f>
        <v>0</v>
      </c>
      <c r="K139" s="432"/>
      <c r="L139" s="432"/>
      <c r="M139" s="432"/>
      <c r="N139" s="432"/>
    </row>
    <row r="140" spans="1:14">
      <c r="A140" s="704"/>
      <c r="B140" s="705"/>
      <c r="C140" s="706"/>
      <c r="D140" s="706"/>
      <c r="E140" s="748"/>
      <c r="F140" s="618"/>
      <c r="G140" s="618"/>
      <c r="H140" s="618"/>
      <c r="I140" s="618"/>
      <c r="J140" s="618"/>
      <c r="K140" s="432"/>
      <c r="L140" s="432"/>
      <c r="M140" s="432"/>
      <c r="N140" s="432"/>
    </row>
    <row r="141" spans="1:14">
      <c r="A141" s="704" t="s">
        <v>451</v>
      </c>
      <c r="B141" s="705"/>
      <c r="C141" s="706"/>
      <c r="D141" s="706"/>
      <c r="E141" s="748"/>
      <c r="F141" s="618"/>
      <c r="G141" s="618"/>
      <c r="H141" s="618"/>
      <c r="I141" s="618"/>
      <c r="J141" s="618"/>
      <c r="K141" s="432"/>
      <c r="L141" s="432"/>
      <c r="M141" s="432"/>
      <c r="N141" s="432"/>
    </row>
    <row r="142" spans="1:14">
      <c r="A142" s="724" t="s">
        <v>724</v>
      </c>
      <c r="B142" s="654" t="s">
        <v>921</v>
      </c>
      <c r="C142" s="655"/>
      <c r="D142" s="762">
        <v>2000</v>
      </c>
      <c r="E142" s="465"/>
      <c r="F142" s="466"/>
      <c r="G142" s="466"/>
      <c r="H142" s="466"/>
      <c r="I142" s="745">
        <f>E142+G142</f>
        <v>0</v>
      </c>
      <c r="J142" s="746">
        <f>F142+H142</f>
        <v>0</v>
      </c>
      <c r="K142" s="432"/>
      <c r="L142" s="432"/>
      <c r="M142" s="432"/>
      <c r="N142" s="432"/>
    </row>
    <row r="143" spans="1:14">
      <c r="A143" s="703"/>
      <c r="B143" s="696"/>
      <c r="C143" s="661"/>
      <c r="D143" s="679"/>
      <c r="E143" s="748"/>
      <c r="F143" s="618"/>
      <c r="G143" s="618"/>
      <c r="H143" s="618"/>
      <c r="I143" s="618"/>
      <c r="J143" s="618"/>
      <c r="K143" s="432"/>
      <c r="L143" s="432"/>
      <c r="M143" s="432"/>
      <c r="N143" s="432"/>
    </row>
    <row r="144" spans="1:14">
      <c r="A144" s="620" t="s">
        <v>922</v>
      </c>
      <c r="B144" s="629"/>
      <c r="C144" s="661"/>
      <c r="D144" s="621"/>
      <c r="E144" s="751"/>
      <c r="F144" s="612"/>
      <c r="G144" s="612"/>
      <c r="H144" s="612"/>
      <c r="I144" s="612"/>
      <c r="J144" s="612"/>
      <c r="K144" s="432"/>
      <c r="L144" s="432"/>
      <c r="M144" s="432"/>
      <c r="N144" s="432"/>
    </row>
    <row r="145" spans="1:15" ht="26.4">
      <c r="A145" s="631" t="s">
        <v>725</v>
      </c>
      <c r="B145" s="654" t="s">
        <v>923</v>
      </c>
      <c r="C145" s="655"/>
      <c r="D145" s="653">
        <v>2500</v>
      </c>
      <c r="E145" s="471"/>
      <c r="F145" s="470"/>
      <c r="G145" s="470"/>
      <c r="H145" s="470"/>
      <c r="I145" s="624">
        <f>E145+G145</f>
        <v>0</v>
      </c>
      <c r="J145" s="624">
        <f>F145+H145</f>
        <v>0</v>
      </c>
      <c r="K145" s="432"/>
      <c r="L145" s="432"/>
      <c r="M145" s="432"/>
      <c r="N145" s="432"/>
    </row>
    <row r="146" spans="1:15">
      <c r="A146" s="633"/>
      <c r="B146" s="634"/>
      <c r="C146" s="661"/>
      <c r="D146" s="636"/>
      <c r="E146" s="752"/>
      <c r="F146" s="608"/>
      <c r="G146" s="608"/>
      <c r="H146" s="608"/>
      <c r="I146" s="608"/>
      <c r="J146" s="608"/>
      <c r="K146" s="432"/>
      <c r="L146" s="432"/>
      <c r="M146" s="432"/>
      <c r="N146" s="432"/>
    </row>
    <row r="147" spans="1:15">
      <c r="A147" s="620" t="s">
        <v>924</v>
      </c>
      <c r="B147" s="629"/>
      <c r="C147" s="661"/>
      <c r="D147" s="621"/>
      <c r="E147" s="751"/>
      <c r="F147" s="612"/>
      <c r="G147" s="612"/>
      <c r="H147" s="612"/>
      <c r="I147" s="612"/>
      <c r="J147" s="612"/>
      <c r="K147" s="432"/>
      <c r="L147" s="432"/>
      <c r="M147" s="432"/>
      <c r="N147" s="432"/>
    </row>
    <row r="148" spans="1:15">
      <c r="A148" s="641" t="s">
        <v>726</v>
      </c>
      <c r="B148" s="725" t="s">
        <v>925</v>
      </c>
      <c r="C148" s="655"/>
      <c r="D148" s="653">
        <v>2500</v>
      </c>
      <c r="E148" s="467"/>
      <c r="F148" s="468"/>
      <c r="G148" s="468"/>
      <c r="H148" s="468"/>
      <c r="I148" s="615">
        <f>E148+G148</f>
        <v>0</v>
      </c>
      <c r="J148" s="615">
        <f>F148+H148</f>
        <v>0</v>
      </c>
      <c r="K148" s="432"/>
      <c r="L148" s="432"/>
      <c r="M148" s="432"/>
      <c r="N148" s="432"/>
    </row>
    <row r="149" spans="1:15">
      <c r="A149" s="703"/>
      <c r="B149" s="696"/>
      <c r="C149" s="661"/>
      <c r="D149" s="679"/>
      <c r="E149" s="748"/>
      <c r="F149" s="618"/>
      <c r="G149" s="618"/>
      <c r="H149" s="618"/>
      <c r="I149" s="618"/>
      <c r="J149" s="618"/>
      <c r="K149" s="432"/>
      <c r="L149" s="432"/>
      <c r="M149" s="432"/>
      <c r="N149" s="432"/>
    </row>
    <row r="150" spans="1:15">
      <c r="A150" s="709" t="s">
        <v>452</v>
      </c>
      <c r="B150" s="696"/>
      <c r="C150" s="661"/>
      <c r="D150" s="679"/>
      <c r="E150" s="748"/>
      <c r="F150" s="618"/>
      <c r="G150" s="618"/>
      <c r="H150" s="618"/>
      <c r="I150" s="618"/>
      <c r="J150" s="618"/>
      <c r="K150" s="785"/>
      <c r="L150" s="785"/>
      <c r="M150" s="785"/>
      <c r="N150" s="785"/>
      <c r="O150" s="13"/>
    </row>
    <row r="151" spans="1:15">
      <c r="A151" s="650" t="s">
        <v>727</v>
      </c>
      <c r="B151" s="654" t="s">
        <v>926</v>
      </c>
      <c r="C151" s="655"/>
      <c r="D151" s="653">
        <v>2500</v>
      </c>
      <c r="E151" s="472"/>
      <c r="F151" s="473"/>
      <c r="G151" s="473"/>
      <c r="H151" s="473"/>
      <c r="I151" s="737">
        <f>E151+G151</f>
        <v>0</v>
      </c>
      <c r="J151" s="737">
        <f>F151+H151</f>
        <v>0</v>
      </c>
      <c r="K151" s="432"/>
      <c r="L151" s="432"/>
      <c r="M151" s="432"/>
      <c r="N151" s="432"/>
    </row>
    <row r="152" spans="1:15">
      <c r="A152" s="703"/>
      <c r="B152" s="696"/>
      <c r="C152" s="661"/>
      <c r="D152" s="679"/>
      <c r="E152" s="748"/>
      <c r="F152" s="618"/>
      <c r="G152" s="618"/>
      <c r="H152" s="618"/>
      <c r="I152" s="618"/>
      <c r="J152" s="618"/>
      <c r="K152" s="432"/>
      <c r="L152" s="432"/>
      <c r="M152" s="432"/>
      <c r="N152" s="432"/>
    </row>
    <row r="153" spans="1:15">
      <c r="A153" s="648" t="s">
        <v>927</v>
      </c>
      <c r="B153" s="596"/>
      <c r="C153" s="648"/>
      <c r="D153" s="648"/>
      <c r="E153" s="597"/>
      <c r="F153" s="597"/>
      <c r="G153" s="597"/>
      <c r="H153" s="597"/>
      <c r="I153" s="597"/>
      <c r="J153" s="597"/>
      <c r="K153" s="432"/>
      <c r="L153" s="432"/>
      <c r="M153" s="432"/>
      <c r="N153" s="432"/>
    </row>
    <row r="154" spans="1:15">
      <c r="A154" s="598" t="s">
        <v>453</v>
      </c>
      <c r="B154" s="599"/>
      <c r="C154" s="669"/>
      <c r="D154" s="669"/>
      <c r="E154" s="751"/>
      <c r="F154" s="612"/>
      <c r="G154" s="612"/>
      <c r="H154" s="612"/>
      <c r="I154" s="612"/>
      <c r="J154" s="612"/>
      <c r="K154" s="432"/>
      <c r="L154" s="432"/>
      <c r="M154" s="432"/>
      <c r="N154" s="432"/>
    </row>
    <row r="155" spans="1:15" ht="26.4">
      <c r="A155" s="712" t="s">
        <v>728</v>
      </c>
      <c r="B155" s="726" t="s">
        <v>928</v>
      </c>
      <c r="C155" s="664"/>
      <c r="D155" s="653">
        <v>1100</v>
      </c>
      <c r="E155" s="467"/>
      <c r="F155" s="468"/>
      <c r="G155" s="468"/>
      <c r="H155" s="468"/>
      <c r="I155" s="615">
        <f>E155+G155</f>
        <v>0</v>
      </c>
      <c r="J155" s="615">
        <f>F155+H155</f>
        <v>0</v>
      </c>
      <c r="K155" s="432"/>
      <c r="L155" s="432"/>
      <c r="M155" s="432"/>
      <c r="N155" s="432"/>
    </row>
    <row r="156" spans="1:15">
      <c r="A156" s="666"/>
      <c r="B156" s="696"/>
      <c r="C156" s="661"/>
      <c r="D156" s="679"/>
      <c r="E156" s="748"/>
      <c r="F156" s="618"/>
      <c r="G156" s="618"/>
      <c r="H156" s="618"/>
      <c r="I156" s="618"/>
      <c r="J156" s="618"/>
      <c r="K156" s="432"/>
      <c r="L156" s="432"/>
      <c r="M156" s="432"/>
      <c r="N156" s="432"/>
    </row>
    <row r="157" spans="1:15">
      <c r="A157" s="727" t="s">
        <v>454</v>
      </c>
      <c r="B157" s="629"/>
      <c r="C157" s="657"/>
      <c r="D157" s="621"/>
      <c r="E157" s="751"/>
      <c r="F157" s="612"/>
      <c r="G157" s="612"/>
      <c r="H157" s="612"/>
      <c r="I157" s="612"/>
      <c r="J157" s="612"/>
      <c r="K157" s="432"/>
      <c r="L157" s="432"/>
      <c r="M157" s="432"/>
      <c r="N157" s="432"/>
    </row>
    <row r="158" spans="1:15">
      <c r="A158" s="712" t="s">
        <v>729</v>
      </c>
      <c r="B158" s="728" t="s">
        <v>929</v>
      </c>
      <c r="C158" s="729"/>
      <c r="D158" s="730">
        <v>1100</v>
      </c>
      <c r="E158" s="471"/>
      <c r="F158" s="470"/>
      <c r="G158" s="120"/>
      <c r="H158" s="120"/>
      <c r="I158" s="624">
        <f>E158+G158</f>
        <v>0</v>
      </c>
      <c r="J158" s="624">
        <f>F158+H158</f>
        <v>0</v>
      </c>
      <c r="K158" s="432"/>
      <c r="L158" s="432"/>
      <c r="M158" s="432"/>
      <c r="N158" s="432"/>
    </row>
    <row r="159" spans="1:15">
      <c r="A159" s="666"/>
      <c r="B159" s="642"/>
      <c r="C159" s="656"/>
      <c r="D159" s="636"/>
      <c r="E159" s="752"/>
      <c r="F159" s="608"/>
      <c r="G159" s="608"/>
      <c r="H159" s="608"/>
      <c r="I159" s="608"/>
      <c r="J159" s="608"/>
      <c r="K159" s="785"/>
      <c r="L159" s="785"/>
      <c r="M159" s="785"/>
      <c r="N159" s="785"/>
    </row>
    <row r="160" spans="1:15">
      <c r="A160" s="610" t="s">
        <v>930</v>
      </c>
      <c r="B160" s="629"/>
      <c r="C160" s="657"/>
      <c r="D160" s="621"/>
      <c r="E160" s="751"/>
      <c r="F160" s="612"/>
      <c r="G160" s="612"/>
      <c r="H160" s="612"/>
      <c r="I160" s="612"/>
      <c r="J160" s="612"/>
      <c r="K160" s="432"/>
      <c r="L160" s="432"/>
      <c r="M160" s="432"/>
      <c r="N160" s="432"/>
    </row>
    <row r="161" spans="1:15" ht="26.4">
      <c r="A161" s="712" t="s">
        <v>730</v>
      </c>
      <c r="B161" s="728" t="s">
        <v>931</v>
      </c>
      <c r="C161" s="664"/>
      <c r="D161" s="660">
        <v>1100</v>
      </c>
      <c r="E161" s="467"/>
      <c r="F161" s="468"/>
      <c r="G161" s="468"/>
      <c r="H161" s="468"/>
      <c r="I161" s="615">
        <f>E161+G161</f>
        <v>0</v>
      </c>
      <c r="J161" s="615">
        <f>F161+H161</f>
        <v>0</v>
      </c>
      <c r="K161" s="432"/>
      <c r="L161" s="432"/>
      <c r="M161" s="432"/>
      <c r="N161" s="432"/>
    </row>
    <row r="162" spans="1:15">
      <c r="A162" s="610"/>
      <c r="B162" s="642"/>
      <c r="C162" s="661"/>
      <c r="D162" s="679"/>
      <c r="E162" s="748"/>
      <c r="F162" s="618"/>
      <c r="G162" s="618"/>
      <c r="H162" s="618"/>
      <c r="I162" s="618"/>
      <c r="J162" s="618"/>
      <c r="K162" s="432"/>
      <c r="L162" s="432"/>
      <c r="M162" s="432"/>
      <c r="N162" s="432"/>
    </row>
    <row r="163" spans="1:15">
      <c r="A163" s="731" t="s">
        <v>932</v>
      </c>
      <c r="B163" s="629"/>
      <c r="C163" s="657"/>
      <c r="D163" s="621"/>
      <c r="E163" s="751"/>
      <c r="F163" s="612"/>
      <c r="G163" s="612"/>
      <c r="H163" s="612"/>
      <c r="I163" s="612"/>
      <c r="J163" s="612"/>
      <c r="K163" s="432"/>
      <c r="L163" s="432"/>
      <c r="M163" s="432"/>
      <c r="N163" s="432"/>
    </row>
    <row r="164" spans="1:15" ht="26.4">
      <c r="A164" s="650" t="s">
        <v>731</v>
      </c>
      <c r="B164" s="637" t="s">
        <v>933</v>
      </c>
      <c r="C164" s="664"/>
      <c r="D164" s="660">
        <v>1100</v>
      </c>
      <c r="E164" s="467"/>
      <c r="F164" s="468"/>
      <c r="G164" s="468"/>
      <c r="H164" s="468"/>
      <c r="I164" s="615">
        <f>E164+G164</f>
        <v>0</v>
      </c>
      <c r="J164" s="615">
        <f>F164+H164</f>
        <v>0</v>
      </c>
      <c r="K164" s="432"/>
      <c r="L164" s="432"/>
      <c r="M164" s="432"/>
      <c r="N164" s="432"/>
    </row>
    <row r="165" spans="1:15">
      <c r="A165" s="709"/>
      <c r="B165" s="696"/>
      <c r="C165" s="661"/>
      <c r="D165" s="679"/>
      <c r="E165" s="748"/>
      <c r="F165" s="618"/>
      <c r="G165" s="618"/>
      <c r="H165" s="618"/>
      <c r="I165" s="618"/>
      <c r="J165" s="618"/>
      <c r="K165" s="432"/>
      <c r="L165" s="432"/>
      <c r="M165" s="432"/>
      <c r="N165" s="432"/>
    </row>
    <row r="166" spans="1:15" ht="15.6">
      <c r="A166" s="732" t="s">
        <v>934</v>
      </c>
      <c r="B166" s="702"/>
      <c r="C166" s="703"/>
      <c r="D166" s="703"/>
      <c r="E166" s="616"/>
      <c r="F166" s="616"/>
      <c r="G166" s="616"/>
      <c r="H166" s="616"/>
      <c r="I166" s="616"/>
      <c r="J166" s="616"/>
      <c r="K166" s="432"/>
      <c r="L166" s="432"/>
      <c r="M166" s="432"/>
      <c r="N166" s="432"/>
    </row>
    <row r="167" spans="1:15">
      <c r="A167" s="668" t="s">
        <v>456</v>
      </c>
      <c r="B167" s="599"/>
      <c r="C167" s="706"/>
      <c r="D167" s="669"/>
      <c r="E167" s="751"/>
      <c r="F167" s="612"/>
      <c r="G167" s="612"/>
      <c r="H167" s="612"/>
      <c r="I167" s="612"/>
      <c r="J167" s="612"/>
      <c r="K167" s="432"/>
      <c r="L167" s="432"/>
      <c r="M167" s="432"/>
      <c r="N167" s="432"/>
    </row>
    <row r="168" spans="1:15" ht="26.4">
      <c r="A168" s="650" t="s">
        <v>732</v>
      </c>
      <c r="B168" s="651" t="s">
        <v>935</v>
      </c>
      <c r="C168" s="652"/>
      <c r="D168" s="653">
        <v>2500</v>
      </c>
      <c r="E168" s="472"/>
      <c r="F168" s="473"/>
      <c r="G168" s="473"/>
      <c r="H168" s="473"/>
      <c r="I168" s="615">
        <f>E168+G168</f>
        <v>0</v>
      </c>
      <c r="J168" s="615">
        <f>F168+H168</f>
        <v>0</v>
      </c>
      <c r="K168" s="785"/>
      <c r="L168" s="785"/>
      <c r="M168" s="785"/>
      <c r="N168" s="785"/>
      <c r="O168" s="13"/>
    </row>
    <row r="169" spans="1:15">
      <c r="A169" s="703"/>
      <c r="B169" s="696"/>
      <c r="C169" s="661"/>
      <c r="D169" s="679"/>
      <c r="E169" s="748"/>
      <c r="F169" s="618"/>
      <c r="G169" s="618"/>
      <c r="H169" s="618"/>
      <c r="I169" s="618"/>
      <c r="J169" s="618"/>
      <c r="K169" s="432"/>
      <c r="L169" s="432"/>
      <c r="M169" s="432"/>
      <c r="N169" s="432"/>
    </row>
    <row r="170" spans="1:15">
      <c r="A170" s="620" t="s">
        <v>457</v>
      </c>
      <c r="B170" s="629"/>
      <c r="C170" s="661"/>
      <c r="D170" s="621"/>
      <c r="E170" s="751"/>
      <c r="F170" s="612"/>
      <c r="G170" s="612"/>
      <c r="H170" s="612"/>
      <c r="I170" s="612"/>
      <c r="J170" s="612"/>
      <c r="K170" s="432"/>
      <c r="L170" s="432"/>
      <c r="M170" s="432"/>
      <c r="N170" s="432"/>
    </row>
    <row r="171" spans="1:15" ht="26.4">
      <c r="A171" s="650" t="s">
        <v>733</v>
      </c>
      <c r="B171" s="662" t="s">
        <v>936</v>
      </c>
      <c r="C171" s="652"/>
      <c r="D171" s="653">
        <v>2500</v>
      </c>
      <c r="E171" s="472"/>
      <c r="F171" s="473"/>
      <c r="G171" s="473"/>
      <c r="H171" s="473"/>
      <c r="I171" s="737">
        <f>E171+G171</f>
        <v>0</v>
      </c>
      <c r="J171" s="737">
        <f>F171+H171</f>
        <v>0</v>
      </c>
      <c r="K171" s="432"/>
      <c r="L171" s="432"/>
      <c r="M171" s="432"/>
      <c r="N171" s="432"/>
    </row>
    <row r="172" spans="1:15">
      <c r="A172" s="703"/>
      <c r="B172" s="696"/>
      <c r="C172" s="661"/>
      <c r="D172" s="679"/>
      <c r="E172" s="748"/>
      <c r="F172" s="618"/>
      <c r="G172" s="618"/>
      <c r="H172" s="618"/>
      <c r="I172" s="618"/>
      <c r="J172" s="618"/>
      <c r="K172" s="432"/>
      <c r="L172" s="432"/>
      <c r="M172" s="432"/>
      <c r="N172" s="432"/>
    </row>
    <row r="173" spans="1:15">
      <c r="A173" s="620" t="s">
        <v>458</v>
      </c>
      <c r="B173" s="629"/>
      <c r="C173" s="661"/>
      <c r="D173" s="621"/>
      <c r="E173" s="751"/>
      <c r="F173" s="612"/>
      <c r="G173" s="612"/>
      <c r="H173" s="612"/>
      <c r="I173" s="612"/>
      <c r="J173" s="612"/>
      <c r="K173" s="432"/>
      <c r="L173" s="432"/>
      <c r="M173" s="432"/>
      <c r="N173" s="432"/>
    </row>
    <row r="174" spans="1:15">
      <c r="A174" s="641" t="s">
        <v>734</v>
      </c>
      <c r="B174" s="662" t="s">
        <v>937</v>
      </c>
      <c r="C174" s="652"/>
      <c r="D174" s="653">
        <v>2500</v>
      </c>
      <c r="E174" s="467"/>
      <c r="F174" s="468"/>
      <c r="G174" s="468"/>
      <c r="H174" s="468"/>
      <c r="I174" s="615">
        <f>E174+G174</f>
        <v>0</v>
      </c>
      <c r="J174" s="615">
        <f>F174+H174</f>
        <v>0</v>
      </c>
      <c r="K174" s="432"/>
      <c r="L174" s="432"/>
      <c r="M174" s="432"/>
      <c r="N174" s="432"/>
    </row>
    <row r="175" spans="1:15">
      <c r="A175" s="703"/>
      <c r="B175" s="696"/>
      <c r="C175" s="661"/>
      <c r="D175" s="679"/>
      <c r="E175" s="748"/>
      <c r="F175" s="618"/>
      <c r="G175" s="618"/>
      <c r="H175" s="618"/>
      <c r="I175" s="618"/>
      <c r="J175" s="618"/>
      <c r="K175" s="432"/>
      <c r="L175" s="432"/>
      <c r="M175" s="432"/>
      <c r="N175" s="432"/>
    </row>
    <row r="176" spans="1:15">
      <c r="A176" s="620" t="s">
        <v>459</v>
      </c>
      <c r="B176" s="629"/>
      <c r="C176" s="661"/>
      <c r="D176" s="621"/>
      <c r="E176" s="751"/>
      <c r="F176" s="612"/>
      <c r="G176" s="612"/>
      <c r="H176" s="612"/>
      <c r="I176" s="612"/>
      <c r="J176" s="612"/>
      <c r="K176" s="432"/>
      <c r="L176" s="432"/>
      <c r="M176" s="432"/>
      <c r="N176" s="432"/>
    </row>
    <row r="177" spans="1:15">
      <c r="A177" s="650" t="s">
        <v>735</v>
      </c>
      <c r="B177" s="662" t="s">
        <v>938</v>
      </c>
      <c r="C177" s="652"/>
      <c r="D177" s="653">
        <v>4000</v>
      </c>
      <c r="E177" s="472"/>
      <c r="F177" s="473"/>
      <c r="G177" s="473"/>
      <c r="H177" s="473"/>
      <c r="I177" s="737">
        <f>E177+G177</f>
        <v>0</v>
      </c>
      <c r="J177" s="737">
        <f>F177+H177</f>
        <v>0</v>
      </c>
      <c r="K177" s="785"/>
      <c r="L177" s="785"/>
      <c r="M177" s="785"/>
      <c r="N177" s="785"/>
      <c r="O177" s="13"/>
    </row>
    <row r="178" spans="1:15">
      <c r="A178" s="703"/>
      <c r="B178" s="696"/>
      <c r="C178" s="661"/>
      <c r="D178" s="679"/>
      <c r="E178" s="748"/>
      <c r="F178" s="618"/>
      <c r="G178" s="618"/>
      <c r="H178" s="618"/>
      <c r="I178" s="618"/>
      <c r="J178" s="618"/>
      <c r="K178" s="432"/>
      <c r="L178" s="432"/>
      <c r="M178" s="432"/>
      <c r="N178" s="432"/>
    </row>
    <row r="179" spans="1:15">
      <c r="A179" s="610" t="s">
        <v>460</v>
      </c>
      <c r="B179" s="642"/>
      <c r="C179" s="667"/>
      <c r="D179" s="643"/>
      <c r="E179" s="749"/>
      <c r="F179" s="735"/>
      <c r="G179" s="735"/>
      <c r="H179" s="735"/>
      <c r="I179" s="735"/>
      <c r="J179" s="735"/>
      <c r="K179" s="432"/>
      <c r="L179" s="432"/>
      <c r="M179" s="432"/>
      <c r="N179" s="432"/>
    </row>
    <row r="180" spans="1:15" ht="26.4">
      <c r="A180" s="712" t="s">
        <v>736</v>
      </c>
      <c r="B180" s="699" t="s">
        <v>939</v>
      </c>
      <c r="C180" s="700"/>
      <c r="D180" s="605">
        <v>2500</v>
      </c>
      <c r="E180" s="465"/>
      <c r="F180" s="466"/>
      <c r="G180" s="466"/>
      <c r="H180" s="466"/>
      <c r="I180" s="734">
        <f>E180+G180</f>
        <v>0</v>
      </c>
      <c r="J180" s="734">
        <f>F180+H180</f>
        <v>0</v>
      </c>
      <c r="K180" s="432"/>
      <c r="L180" s="432"/>
      <c r="M180" s="432"/>
      <c r="N180" s="432"/>
    </row>
    <row r="181" spans="1:15">
      <c r="A181" s="666"/>
      <c r="B181" s="557"/>
      <c r="C181" s="722"/>
      <c r="D181" s="643"/>
      <c r="E181" s="750"/>
      <c r="F181" s="568"/>
      <c r="G181" s="568"/>
      <c r="H181" s="568"/>
      <c r="I181" s="735"/>
      <c r="J181" s="735"/>
      <c r="K181" s="432"/>
      <c r="L181" s="432"/>
      <c r="M181" s="432"/>
      <c r="N181" s="432"/>
    </row>
    <row r="182" spans="1:15">
      <c r="A182" s="733" t="s">
        <v>940</v>
      </c>
      <c r="B182" s="557"/>
      <c r="C182" s="722"/>
      <c r="D182" s="643"/>
      <c r="E182" s="750"/>
      <c r="F182" s="568"/>
      <c r="G182" s="568"/>
      <c r="H182" s="568"/>
      <c r="I182" s="735"/>
      <c r="J182" s="735"/>
      <c r="K182" s="432"/>
      <c r="L182" s="432"/>
      <c r="M182" s="432"/>
      <c r="N182" s="432"/>
    </row>
    <row r="183" spans="1:15" ht="23.25" customHeight="1">
      <c r="A183" s="788"/>
      <c r="B183" s="789"/>
      <c r="C183" s="790"/>
      <c r="D183" s="791"/>
      <c r="E183" s="465"/>
      <c r="F183" s="466"/>
      <c r="G183" s="466"/>
      <c r="H183" s="466"/>
      <c r="I183" s="572">
        <f>E183+G183</f>
        <v>0</v>
      </c>
      <c r="J183" s="572">
        <f>F183+H183</f>
        <v>0</v>
      </c>
      <c r="K183" s="432"/>
      <c r="L183" s="432"/>
      <c r="M183" s="432"/>
      <c r="N183" s="432"/>
    </row>
    <row r="184" spans="1:15" ht="24.75" customHeight="1">
      <c r="A184" s="788"/>
      <c r="B184" s="789"/>
      <c r="C184" s="790"/>
      <c r="D184" s="791"/>
      <c r="E184" s="465"/>
      <c r="F184" s="466"/>
      <c r="G184" s="466"/>
      <c r="H184" s="466"/>
      <c r="I184" s="572">
        <f>E184+G184</f>
        <v>0</v>
      </c>
      <c r="J184" s="572">
        <f>F184+H184</f>
        <v>0</v>
      </c>
      <c r="K184" s="432"/>
      <c r="L184" s="432"/>
      <c r="M184" s="432"/>
      <c r="N184" s="432"/>
    </row>
    <row r="185" spans="1:15">
      <c r="A185" s="666"/>
      <c r="B185" s="557"/>
      <c r="C185" s="722"/>
      <c r="D185" s="643"/>
      <c r="E185" s="750"/>
      <c r="F185" s="568"/>
      <c r="G185" s="568"/>
      <c r="H185" s="568"/>
      <c r="I185" s="735"/>
      <c r="J185" s="735"/>
      <c r="K185" s="432"/>
      <c r="L185" s="432"/>
      <c r="M185" s="432"/>
      <c r="N185" s="432"/>
    </row>
    <row r="186" spans="1:15" s="15" customFormat="1">
      <c r="A186" s="606"/>
      <c r="B186" s="756"/>
      <c r="C186" s="757"/>
      <c r="D186" s="609"/>
      <c r="E186" s="750"/>
      <c r="F186" s="568"/>
      <c r="G186" s="568"/>
      <c r="H186" s="568"/>
      <c r="I186" s="735"/>
      <c r="J186" s="735"/>
      <c r="K186" s="433"/>
      <c r="L186" s="433"/>
      <c r="M186" s="433"/>
      <c r="N186" s="433"/>
    </row>
    <row r="187" spans="1:15" ht="22.5" customHeight="1">
      <c r="A187" s="606"/>
      <c r="B187" s="756"/>
      <c r="C187" s="757"/>
      <c r="D187" s="609"/>
      <c r="E187" s="750"/>
      <c r="F187" s="568"/>
      <c r="G187" s="568"/>
      <c r="H187" s="568"/>
      <c r="I187" s="735"/>
      <c r="J187" s="735"/>
      <c r="K187" s="432"/>
      <c r="L187" s="432"/>
      <c r="M187" s="432"/>
      <c r="N187" s="432"/>
    </row>
    <row r="188" spans="1:15" ht="23.25" customHeight="1">
      <c r="A188" s="606"/>
      <c r="B188" s="756"/>
      <c r="C188" s="757"/>
      <c r="D188" s="609"/>
      <c r="E188" s="750"/>
      <c r="F188" s="568"/>
      <c r="G188" s="568"/>
      <c r="H188" s="568"/>
      <c r="I188" s="735"/>
      <c r="J188" s="735"/>
      <c r="K188" s="432"/>
      <c r="L188" s="432"/>
      <c r="M188" s="432"/>
      <c r="N188" s="432"/>
    </row>
    <row r="189" spans="1:15">
      <c r="A189" s="618"/>
      <c r="B189" s="758"/>
      <c r="C189" s="618"/>
      <c r="D189" s="618"/>
      <c r="E189" s="618"/>
      <c r="F189" s="618"/>
      <c r="G189" s="618"/>
      <c r="H189" s="618"/>
      <c r="I189" s="618"/>
      <c r="J189" s="618"/>
      <c r="K189" s="432"/>
      <c r="L189" s="432"/>
      <c r="M189" s="432"/>
      <c r="N189" s="432"/>
    </row>
    <row r="190" spans="1:15">
      <c r="A190" s="618"/>
      <c r="B190" s="747" t="s">
        <v>461</v>
      </c>
      <c r="C190" s="748"/>
      <c r="D190" s="618"/>
      <c r="E190" s="734">
        <f t="shared" ref="E190:I190" si="1">SUM(E11:E185)</f>
        <v>0</v>
      </c>
      <c r="F190" s="734">
        <f t="shared" si="1"/>
        <v>0</v>
      </c>
      <c r="G190" s="734">
        <f t="shared" si="1"/>
        <v>0</v>
      </c>
      <c r="H190" s="734">
        <f t="shared" si="1"/>
        <v>0</v>
      </c>
      <c r="I190" s="734">
        <f t="shared" si="1"/>
        <v>0</v>
      </c>
      <c r="J190" s="734">
        <f>SUM(J11:J185)</f>
        <v>0</v>
      </c>
      <c r="K190" s="432"/>
      <c r="L190" s="432"/>
      <c r="M190" s="432"/>
      <c r="N190" s="432"/>
    </row>
    <row r="191" spans="1:15">
      <c r="A191" s="618"/>
      <c r="B191" s="758"/>
      <c r="C191" s="618"/>
      <c r="E191" s="618"/>
      <c r="F191" s="618"/>
      <c r="G191" s="618"/>
      <c r="H191" s="618"/>
      <c r="I191" s="618"/>
      <c r="J191" s="618"/>
      <c r="K191" s="432"/>
      <c r="L191" s="432"/>
      <c r="M191" s="432"/>
      <c r="N191" s="432"/>
    </row>
    <row r="192" spans="1:15">
      <c r="K192" s="432"/>
      <c r="L192" s="432"/>
      <c r="M192" s="432"/>
      <c r="N192" s="432"/>
    </row>
    <row r="193" spans="11:14">
      <c r="K193" s="432"/>
      <c r="L193" s="432"/>
      <c r="M193" s="432"/>
      <c r="N193" s="432"/>
    </row>
    <row r="194" spans="11:14">
      <c r="K194" s="432"/>
      <c r="L194" s="432"/>
      <c r="M194" s="432"/>
      <c r="N194" s="432"/>
    </row>
  </sheetData>
  <sheetProtection password="F70F" sheet="1" selectLockedCells="1"/>
  <protectedRanges>
    <protectedRange sqref="E11:H185" name="Range1"/>
  </protectedRanges>
  <mergeCells count="10">
    <mergeCell ref="A137:B137"/>
    <mergeCell ref="A8:N8"/>
    <mergeCell ref="C1:D1"/>
    <mergeCell ref="C3:D3"/>
    <mergeCell ref="C4:D4"/>
    <mergeCell ref="C2:D2"/>
    <mergeCell ref="E6:F6"/>
    <mergeCell ref="G6:H6"/>
    <mergeCell ref="I6:J6"/>
    <mergeCell ref="K6:L6"/>
  </mergeCells>
  <phoneticPr fontId="0" type="noConversion"/>
  <printOptions gridLines="1"/>
  <pageMargins left="0.75" right="0.5" top="1" bottom="0.75" header="0.5" footer="0.5"/>
  <pageSetup scale="76" fitToHeight="10" orientation="portrait" r:id="rId1"/>
  <headerFooter alignWithMargins="0">
    <oddHeader>&amp;C&amp;"Arial,Bold"&amp;11ARKANSAS SCHOOL FACILITY MANUAL
PROGRAM OF REQUIREMENTS
&amp;K01+000CAREER EDUCATION &amp;K000000Required for 9-12)
&amp;RPrinted on
&amp;D</oddHeader>
    <oddFooter>&amp;L&amp;8Division of Public School Academic Facilities and Transportation
&amp;C5600 - &amp;P&amp;R&amp;8Form Revised 11/18/21
February 3, 2022 *</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M35"/>
  <sheetViews>
    <sheetView topLeftCell="A16" zoomScale="145" zoomScaleNormal="145" workbookViewId="0">
      <selection activeCell="C30" sqref="C30"/>
    </sheetView>
  </sheetViews>
  <sheetFormatPr defaultColWidth="9.109375" defaultRowHeight="13.2"/>
  <cols>
    <col min="1" max="1" width="26" style="81" customWidth="1"/>
    <col min="2" max="2" width="28.5546875" style="81" customWidth="1"/>
    <col min="3" max="3" width="29.44140625" style="81" customWidth="1"/>
    <col min="4" max="4" width="12.109375" style="81" customWidth="1"/>
    <col min="5" max="5" width="35.88671875" style="81" customWidth="1"/>
    <col min="6" max="6" width="15.88671875" style="81" customWidth="1"/>
    <col min="7" max="7" width="17.6640625" style="81" customWidth="1"/>
    <col min="8" max="8" width="13.6640625" style="81" customWidth="1"/>
    <col min="9" max="9" width="15" style="81" customWidth="1"/>
    <col min="10" max="10" width="19" style="81" hidden="1" customWidth="1"/>
    <col min="11" max="11" width="17.33203125" style="81" hidden="1" customWidth="1"/>
    <col min="12" max="12" width="23.33203125" style="81" hidden="1" customWidth="1"/>
    <col min="13" max="13" width="15.109375" style="81" hidden="1" customWidth="1"/>
    <col min="14" max="15" width="9.109375" style="81" customWidth="1"/>
    <col min="16" max="16384" width="9.109375" style="81"/>
  </cols>
  <sheetData>
    <row r="1" spans="1:13">
      <c r="A1" s="83" t="s">
        <v>14</v>
      </c>
    </row>
    <row r="3" spans="1:13">
      <c r="A3" s="12" t="s">
        <v>38</v>
      </c>
      <c r="B3" s="81">
        <f>Summary!C1</f>
        <v>0</v>
      </c>
    </row>
    <row r="4" spans="1:13">
      <c r="A4" s="12" t="s">
        <v>39</v>
      </c>
      <c r="B4" s="81">
        <f>Summary!C2</f>
        <v>0</v>
      </c>
    </row>
    <row r="5" spans="1:13">
      <c r="A5" s="12" t="s">
        <v>40</v>
      </c>
      <c r="B5" s="81">
        <f>Summary!C3</f>
        <v>0</v>
      </c>
    </row>
    <row r="6" spans="1:13">
      <c r="A6" s="12" t="s">
        <v>41</v>
      </c>
      <c r="B6" s="81">
        <f>Summary!C4</f>
        <v>0</v>
      </c>
    </row>
    <row r="8" spans="1:13">
      <c r="A8" s="81" t="s">
        <v>0</v>
      </c>
      <c r="B8" s="792">
        <f>Summary!G4</f>
        <v>0</v>
      </c>
      <c r="C8" s="81" t="s">
        <v>600</v>
      </c>
    </row>
    <row r="9" spans="1:13">
      <c r="A9" s="81" t="s">
        <v>1</v>
      </c>
      <c r="B9" s="793">
        <f>Summary!G3</f>
        <v>0</v>
      </c>
    </row>
    <row r="10" spans="1:13">
      <c r="B10" s="793"/>
    </row>
    <row r="11" spans="1:13">
      <c r="B11" s="879" t="s">
        <v>36</v>
      </c>
      <c r="C11" s="879"/>
      <c r="D11" s="879"/>
    </row>
    <row r="12" spans="1:13" ht="66.75" customHeight="1">
      <c r="A12" s="421" t="s">
        <v>15</v>
      </c>
      <c r="B12" s="794" t="s">
        <v>22</v>
      </c>
      <c r="C12" s="795" t="s">
        <v>21</v>
      </c>
      <c r="D12" s="794" t="s">
        <v>466</v>
      </c>
      <c r="E12" s="794" t="s">
        <v>20</v>
      </c>
      <c r="F12" s="794" t="s">
        <v>29</v>
      </c>
      <c r="G12" s="794" t="s">
        <v>23</v>
      </c>
      <c r="H12" s="795" t="s">
        <v>839</v>
      </c>
      <c r="I12" s="795"/>
      <c r="K12" s="794" t="s">
        <v>744</v>
      </c>
    </row>
    <row r="13" spans="1:13">
      <c r="K13" s="81" t="s">
        <v>746</v>
      </c>
      <c r="L13" s="81" t="s">
        <v>745</v>
      </c>
      <c r="M13" s="81" t="s">
        <v>747</v>
      </c>
    </row>
    <row r="14" spans="1:13">
      <c r="A14" s="14" t="s">
        <v>16</v>
      </c>
      <c r="B14" s="796">
        <f>SUM(Summary!F29:'Summary'!F44)+SUM(Summary!F49:'Summary'!F63)</f>
        <v>0</v>
      </c>
      <c r="C14" s="414">
        <f>SUM(Summary!G29:'Summary'!G44)+SUM(Summary!G49:'Summary'!G63)</f>
        <v>0</v>
      </c>
      <c r="D14" s="796">
        <f>COUNTIF(Summary!L29:'Summary'!L44,"&lt;0")+COUNTIF(Summary!L49:'Summary'!L63,"&lt;0")</f>
        <v>0</v>
      </c>
      <c r="E14" s="818" t="str">
        <f>IF(B14=0,"NO","YES")</f>
        <v>NO</v>
      </c>
      <c r="F14" s="797">
        <f t="shared" ref="F14:F23" si="0">IF(E14="YES",C14,0)</f>
        <v>0</v>
      </c>
      <c r="G14" s="413">
        <f>SUM(Summary!P29:'Summary'!P44)+SUM(Summary!P49:'Summary'!P63)</f>
        <v>0</v>
      </c>
      <c r="H14" s="798">
        <f t="shared" ref="H14:H22" si="1">MIN(F14,G14)</f>
        <v>0</v>
      </c>
      <c r="I14" s="798"/>
      <c r="J14" s="799" t="s">
        <v>742</v>
      </c>
      <c r="K14" s="800">
        <f>SUM(Summary!P29:'Summary'!P44)+SUM(Summary!P49:'Summary'!P63)-SUM(Summary!P49:P50,Summary!P53:P63)</f>
        <v>0</v>
      </c>
      <c r="L14" s="800">
        <f>SUM(Summary!G29:'Summary'!G44)+SUM(Summary!G49:'Summary'!G63)-SUM(Summary!G49:G50,Summary!G53:G63)</f>
        <v>0</v>
      </c>
      <c r="M14" s="88">
        <f>MIN(K14,L14)</f>
        <v>0</v>
      </c>
    </row>
    <row r="15" spans="1:13" s="14" customFormat="1">
      <c r="A15" s="14" t="s">
        <v>614</v>
      </c>
      <c r="B15" s="796">
        <f>Summary!F69</f>
        <v>0</v>
      </c>
      <c r="C15" s="414">
        <f>Summary!G69</f>
        <v>0</v>
      </c>
      <c r="D15" s="796">
        <f>COUNTIF(Summary!L69,"&lt;0")</f>
        <v>0</v>
      </c>
      <c r="E15" s="818" t="str">
        <f>IF(B15=0,"NO",IF(D14&gt;0,"NO","YES"))</f>
        <v>NO</v>
      </c>
      <c r="F15" s="797">
        <f t="shared" si="0"/>
        <v>0</v>
      </c>
      <c r="G15" s="414">
        <f>Summary!P69</f>
        <v>0</v>
      </c>
      <c r="H15" s="801">
        <f t="shared" si="1"/>
        <v>0</v>
      </c>
      <c r="I15" s="801"/>
      <c r="J15" s="802" t="s">
        <v>604</v>
      </c>
      <c r="K15" s="803">
        <f>SUM(Summary!P69)</f>
        <v>0</v>
      </c>
      <c r="L15" s="804">
        <f>SUM(Summary!G69)</f>
        <v>0</v>
      </c>
      <c r="M15" s="797">
        <f>MIN(K15,L15)</f>
        <v>0</v>
      </c>
    </row>
    <row r="16" spans="1:13">
      <c r="A16" s="14" t="s">
        <v>17</v>
      </c>
      <c r="B16" s="796">
        <f>SUM(Summary!F73:'Summary'!F79)</f>
        <v>0</v>
      </c>
      <c r="C16" s="414">
        <f>SUM(Summary!G73:'Summary'!G79)</f>
        <v>0</v>
      </c>
      <c r="D16" s="796">
        <f>COUNTIF(Summary!L73:'Summary'!L79,"&lt;0")</f>
        <v>6</v>
      </c>
      <c r="E16" s="819" t="str">
        <f>IF(B16=0,"NO",IF(D14+D15&gt;0,"NO","YES"))</f>
        <v>NO</v>
      </c>
      <c r="F16" s="88">
        <f t="shared" si="0"/>
        <v>0</v>
      </c>
      <c r="G16" s="414">
        <f>SUM(Summary!P73:'Summary'!P79)</f>
        <v>0</v>
      </c>
      <c r="H16" s="798">
        <f t="shared" si="1"/>
        <v>0</v>
      </c>
      <c r="I16" s="798"/>
      <c r="J16" s="799" t="s">
        <v>479</v>
      </c>
      <c r="K16" s="805">
        <f>SUM(Summary!P49:P50,Summary!P53:P55)</f>
        <v>0</v>
      </c>
      <c r="L16" s="805">
        <f>SUM(Summary!G49:G50,Summary!G53:G55)</f>
        <v>0</v>
      </c>
      <c r="M16" s="88">
        <f>MIN(K16,L16)</f>
        <v>0</v>
      </c>
    </row>
    <row r="17" spans="1:13">
      <c r="A17" s="14" t="s">
        <v>18</v>
      </c>
      <c r="B17" s="796">
        <f>Summary!F94</f>
        <v>0</v>
      </c>
      <c r="C17" s="414">
        <f>Summary!G94</f>
        <v>0</v>
      </c>
      <c r="D17" s="796">
        <f>COUNTIF(Summary!L94,"&lt;0")</f>
        <v>1</v>
      </c>
      <c r="E17" s="819" t="str">
        <f>IF(B17=0,"NO",IF(D14+D15+D16&gt;0,"NO","YES"))</f>
        <v>NO</v>
      </c>
      <c r="F17" s="88">
        <f t="shared" si="0"/>
        <v>0</v>
      </c>
      <c r="G17" s="414">
        <f>Summary!P94</f>
        <v>0</v>
      </c>
      <c r="H17" s="798">
        <f t="shared" si="1"/>
        <v>0</v>
      </c>
      <c r="I17" s="798"/>
      <c r="J17" s="799" t="s">
        <v>743</v>
      </c>
      <c r="K17" s="806">
        <f>SUM(Summary!P56:P63)</f>
        <v>0</v>
      </c>
      <c r="L17" s="805">
        <f>SUM(Summary!G56:G63)</f>
        <v>0</v>
      </c>
      <c r="M17" s="88">
        <f>MIN(K17,L17)</f>
        <v>0</v>
      </c>
    </row>
    <row r="18" spans="1:13">
      <c r="A18" s="13" t="s">
        <v>172</v>
      </c>
      <c r="B18" s="796">
        <f>SUM(Summary!F98:'Summary'!F102)</f>
        <v>0</v>
      </c>
      <c r="C18" s="807">
        <f>SUM(Summary!G98:'Summary'!G102)</f>
        <v>0</v>
      </c>
      <c r="D18" s="796">
        <f>COUNTIF(Summary!L98:'Summary'!L102,"&lt;0")</f>
        <v>5</v>
      </c>
      <c r="E18" s="819" t="str">
        <f>IF(B18=0,"NO",IF(D14+D16+D17+D15&gt;0,"NO","YES"))</f>
        <v>NO</v>
      </c>
      <c r="F18" s="88">
        <f t="shared" si="0"/>
        <v>0</v>
      </c>
      <c r="G18" s="414">
        <f>SUM(Summary!P98:'Summary'!P102)</f>
        <v>0</v>
      </c>
      <c r="H18" s="798">
        <f t="shared" si="1"/>
        <v>0</v>
      </c>
      <c r="I18" s="798"/>
      <c r="J18" s="808"/>
      <c r="K18" s="809"/>
      <c r="L18" s="810"/>
      <c r="M18" s="88"/>
    </row>
    <row r="19" spans="1:13">
      <c r="A19" s="13" t="s">
        <v>1111</v>
      </c>
      <c r="B19" s="496">
        <f>SUM(Summary!F64:'Summary'!F68)</f>
        <v>0</v>
      </c>
      <c r="C19" s="414">
        <f>SUM(Summary!G64:'Summary'!G68)</f>
        <v>0</v>
      </c>
      <c r="D19" s="796">
        <f>COUNTIF(Summary!L64:'Summary'!L68,"&lt;0")</f>
        <v>0</v>
      </c>
      <c r="E19" s="819" t="str">
        <f>IF(B19=0,"NO",IF(D14+D15+D16+D17&gt;0,"NO","YES"))</f>
        <v>NO</v>
      </c>
      <c r="F19" s="88">
        <f t="shared" si="0"/>
        <v>0</v>
      </c>
      <c r="G19" s="413">
        <f>SUM(Summary!P64:'Summary'!P68)</f>
        <v>0</v>
      </c>
      <c r="H19" s="798">
        <f t="shared" si="1"/>
        <v>0</v>
      </c>
      <c r="I19" s="798"/>
      <c r="L19" s="798">
        <f>SUM(L14:L18)</f>
        <v>0</v>
      </c>
    </row>
    <row r="20" spans="1:13">
      <c r="A20" s="13" t="s">
        <v>465</v>
      </c>
      <c r="B20" s="496">
        <f>SUM(Summary!F45:'Summary'!F48)</f>
        <v>0</v>
      </c>
      <c r="C20" s="414">
        <f>SUM(Summary!G45:'Summary'!G48)</f>
        <v>0</v>
      </c>
      <c r="D20" s="796">
        <f>COUNTIF(Summary!L45:'Summary'!L48,"&lt;0")</f>
        <v>0</v>
      </c>
      <c r="E20" s="819" t="str">
        <f>IF(B20=0,"NO",IF(D14+D15+D16+D17&gt;0,"NO","YES"))</f>
        <v>NO</v>
      </c>
      <c r="F20" s="88">
        <f t="shared" si="0"/>
        <v>0</v>
      </c>
      <c r="G20" s="413">
        <f>SUM(Summary!P45:'Summary'!P48)</f>
        <v>0</v>
      </c>
      <c r="H20" s="798">
        <f t="shared" si="1"/>
        <v>0</v>
      </c>
      <c r="I20" s="798"/>
    </row>
    <row r="21" spans="1:13">
      <c r="A21" s="13" t="s">
        <v>165</v>
      </c>
      <c r="B21" s="496">
        <f>Summary!F87+Summary!F88</f>
        <v>0</v>
      </c>
      <c r="C21" s="414">
        <f>Summary!G87+Summary!G88</f>
        <v>0</v>
      </c>
      <c r="D21" s="796">
        <f>COUNTIF(Summary!L87:'Summary'!L88,"&lt;0")</f>
        <v>0</v>
      </c>
      <c r="E21" s="819" t="str">
        <f>IF(B21=0,"NO",IF(D14+D15+D16+D17&gt;0,"NO","YES"))</f>
        <v>NO</v>
      </c>
      <c r="F21" s="88">
        <f t="shared" si="0"/>
        <v>0</v>
      </c>
      <c r="G21" s="413">
        <f>Summary!P87+Summary!P88</f>
        <v>0</v>
      </c>
      <c r="H21" s="798">
        <f t="shared" si="1"/>
        <v>0</v>
      </c>
      <c r="I21" s="798"/>
      <c r="J21" s="811"/>
      <c r="K21" s="811"/>
      <c r="L21" s="811"/>
    </row>
    <row r="22" spans="1:13">
      <c r="A22" s="14" t="s">
        <v>19</v>
      </c>
      <c r="B22" s="796">
        <f>SUM(Summary!F81:'Summary'!F85)</f>
        <v>0</v>
      </c>
      <c r="C22" s="414">
        <f>SUM(Summary!G81:'Summary'!G85)</f>
        <v>0</v>
      </c>
      <c r="D22" s="796">
        <f>COUNTIF(Summary!L81:'Summary'!L85,"&lt;0")</f>
        <v>4</v>
      </c>
      <c r="E22" s="819" t="str">
        <f>IF(B22=0,"NO",IF(D14+D16+D17+D15+D18+D19+D20+D21&gt;0,"NO","YES"))</f>
        <v>NO</v>
      </c>
      <c r="F22" s="88">
        <f t="shared" si="0"/>
        <v>0</v>
      </c>
      <c r="G22" s="414">
        <f>SUM(Summary!P81:'Summary'!P85)</f>
        <v>0</v>
      </c>
      <c r="H22" s="798">
        <f t="shared" si="1"/>
        <v>0</v>
      </c>
      <c r="I22" s="798"/>
    </row>
    <row r="23" spans="1:13">
      <c r="A23" s="13" t="s">
        <v>37</v>
      </c>
      <c r="B23" s="812"/>
      <c r="C23" s="414">
        <f>SupportSpaces!E159</f>
        <v>0</v>
      </c>
      <c r="D23" s="813"/>
      <c r="E23" s="819" t="str">
        <f>IF(C23=0,"NO",IF(D14+D15+D18+D19+D21+D22+D16+D17+D20&gt;0,"NO","YES"))</f>
        <v>NO</v>
      </c>
      <c r="F23" s="88">
        <f t="shared" si="0"/>
        <v>0</v>
      </c>
      <c r="G23" s="814"/>
      <c r="H23" s="798">
        <f>F23</f>
        <v>0</v>
      </c>
      <c r="I23" s="798"/>
    </row>
    <row r="24" spans="1:13">
      <c r="A24" s="14" t="s">
        <v>9</v>
      </c>
      <c r="B24" s="14"/>
      <c r="C24" s="14"/>
      <c r="D24" s="175"/>
      <c r="E24" s="14"/>
      <c r="G24" s="14"/>
      <c r="H24" s="815">
        <f>SUM(H14:H23)</f>
        <v>0</v>
      </c>
      <c r="I24" s="815"/>
    </row>
    <row r="25" spans="1:13">
      <c r="G25" s="85" t="s">
        <v>24</v>
      </c>
      <c r="L25" s="81" t="s">
        <v>842</v>
      </c>
    </row>
    <row r="26" spans="1:13">
      <c r="A26" s="81" t="s">
        <v>30</v>
      </c>
      <c r="B26" s="14"/>
      <c r="C26" s="88">
        <f>$H$24</f>
        <v>0</v>
      </c>
      <c r="G26" s="85" t="s">
        <v>25</v>
      </c>
    </row>
    <row r="27" spans="1:13">
      <c r="A27" s="81" t="s">
        <v>31</v>
      </c>
      <c r="B27" s="14"/>
      <c r="C27" s="88">
        <f>1.28*C26</f>
        <v>0</v>
      </c>
      <c r="G27" s="85" t="s">
        <v>26</v>
      </c>
    </row>
    <row r="28" spans="1:13">
      <c r="A28" s="816" t="s">
        <v>32</v>
      </c>
      <c r="C28" s="88">
        <f>1.1*C27</f>
        <v>0</v>
      </c>
      <c r="G28" s="85" t="s">
        <v>27</v>
      </c>
    </row>
    <row r="29" spans="1:13">
      <c r="G29" s="85" t="s">
        <v>28</v>
      </c>
    </row>
    <row r="30" spans="1:13" ht="15.6">
      <c r="A30" s="81" t="s">
        <v>35</v>
      </c>
      <c r="C30" s="398"/>
      <c r="E30" s="866" t="s">
        <v>518</v>
      </c>
      <c r="F30" s="866"/>
      <c r="G30" s="866"/>
      <c r="H30" s="866"/>
    </row>
    <row r="31" spans="1:13">
      <c r="E31" s="880" t="s">
        <v>519</v>
      </c>
      <c r="F31" s="881"/>
      <c r="G31" s="881"/>
      <c r="H31" s="882"/>
    </row>
    <row r="32" spans="1:13">
      <c r="A32" s="81" t="s">
        <v>33</v>
      </c>
      <c r="C32" s="413">
        <f>SuitabilityAnalysis!G26</f>
        <v>0</v>
      </c>
      <c r="E32" s="880"/>
      <c r="F32" s="881"/>
      <c r="G32" s="881"/>
      <c r="H32" s="882"/>
      <c r="I32" s="817"/>
    </row>
    <row r="33" spans="1:9" ht="13.8" thickBot="1">
      <c r="E33" s="880"/>
      <c r="F33" s="881"/>
      <c r="G33" s="881"/>
      <c r="H33" s="882"/>
      <c r="I33" s="817"/>
    </row>
    <row r="34" spans="1:9" ht="42" customHeight="1" thickTop="1" thickBot="1">
      <c r="A34" s="81" t="s">
        <v>34</v>
      </c>
      <c r="C34" s="820">
        <f>MIN(C28,C30,C32)</f>
        <v>0</v>
      </c>
      <c r="E34" s="883"/>
      <c r="F34" s="884"/>
      <c r="G34" s="884"/>
      <c r="H34" s="885"/>
      <c r="I34" s="817"/>
    </row>
    <row r="35" spans="1:9" ht="13.8" thickTop="1"/>
  </sheetData>
  <sheetProtection password="F70F" sheet="1" selectLockedCells="1"/>
  <mergeCells count="3">
    <mergeCell ref="B11:D11"/>
    <mergeCell ref="E31:H34"/>
    <mergeCell ref="E30:H30"/>
  </mergeCells>
  <phoneticPr fontId="3" type="noConversion"/>
  <dataValidations disablePrompts="1" count="1">
    <dataValidation type="list" allowBlank="1" showInputMessage="1" showErrorMessage="1" sqref="D24" xr:uid="{00000000-0002-0000-0600-000000000000}">
      <formula1>"-,YES,NO"</formula1>
    </dataValidation>
  </dataValidations>
  <printOptions horizontalCentered="1" gridLines="1"/>
  <pageMargins left="0.5" right="0" top="1" bottom="0.66" header="0.5" footer="0.5"/>
  <pageSetup paperSize="3" orientation="landscape" r:id="rId1"/>
  <headerFooter alignWithMargins="0">
    <oddHeader>&amp;C&amp;14PROJECT FUNDED AREA AND REQUIRED SPACES CHECK</oddHeader>
    <oddFooter>&amp;L&amp;8Printed &amp;D  &amp;T&amp;R&amp;8Form Revised 11/18/21
December 3, 2021</oddFooter>
  </headerFooter>
  <ignoredErrors>
    <ignoredError sqref="L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O242"/>
  <sheetViews>
    <sheetView topLeftCell="A28" workbookViewId="0">
      <selection activeCell="Z17" sqref="Z17:Z18"/>
    </sheetView>
  </sheetViews>
  <sheetFormatPr defaultColWidth="9.109375" defaultRowHeight="13.2"/>
  <cols>
    <col min="1" max="1" width="12.33203125" style="14" customWidth="1"/>
    <col min="2" max="2" width="28.44140625" style="14" customWidth="1"/>
    <col min="3" max="3" width="12.109375" style="14" customWidth="1"/>
    <col min="4" max="4" width="12.5546875" style="121" customWidth="1"/>
    <col min="5" max="5" width="9.109375" style="14"/>
    <col min="6" max="7" width="9.109375" style="14" customWidth="1"/>
    <col min="8" max="8" width="10.33203125" style="14" customWidth="1"/>
    <col min="9" max="9" width="10.6640625" style="14" customWidth="1"/>
    <col min="10" max="10" width="9.88671875" style="14" customWidth="1"/>
    <col min="11" max="11" width="29.44140625" style="14" hidden="1" customWidth="1"/>
    <col min="12" max="16384" width="9.109375" style="14"/>
  </cols>
  <sheetData>
    <row r="1" spans="1:15" ht="13.8" thickBot="1">
      <c r="A1" s="12" t="s">
        <v>38</v>
      </c>
      <c r="B1" s="13"/>
      <c r="C1" s="867">
        <f>[1]Summary!C1</f>
        <v>0</v>
      </c>
      <c r="D1" s="868"/>
      <c r="F1" s="14" t="s">
        <v>429</v>
      </c>
    </row>
    <row r="2" spans="1:15" ht="13.8" thickBot="1">
      <c r="A2" s="12" t="s">
        <v>39</v>
      </c>
      <c r="B2" s="13"/>
      <c r="C2" s="867">
        <f>[1]Summary!C2</f>
        <v>0</v>
      </c>
      <c r="D2" s="868"/>
      <c r="F2" s="16" t="s">
        <v>612</v>
      </c>
    </row>
    <row r="3" spans="1:15" ht="13.8" thickBot="1">
      <c r="A3" s="12" t="s">
        <v>40</v>
      </c>
      <c r="B3" s="13"/>
      <c r="C3" s="867">
        <f>[1]Summary!C3</f>
        <v>0</v>
      </c>
      <c r="D3" s="868"/>
      <c r="F3" s="14" t="s">
        <v>430</v>
      </c>
    </row>
    <row r="4" spans="1:15" ht="13.8" thickBot="1">
      <c r="A4" s="12" t="s">
        <v>41</v>
      </c>
      <c r="B4" s="13"/>
      <c r="C4" s="867">
        <f>[1]Summary!C4</f>
        <v>0</v>
      </c>
      <c r="D4" s="868"/>
      <c r="F4" s="16" t="s">
        <v>613</v>
      </c>
      <c r="G4" s="209"/>
    </row>
    <row r="5" spans="1:15" ht="13.8" thickBot="1">
      <c r="A5" s="117"/>
      <c r="B5" s="118"/>
      <c r="C5" s="163"/>
      <c r="D5" s="491"/>
    </row>
    <row r="6" spans="1:15" ht="28.5" customHeight="1" thickTop="1" thickBot="1">
      <c r="A6" s="117"/>
      <c r="B6" s="118"/>
      <c r="C6" s="163"/>
      <c r="D6" s="492" t="s">
        <v>593</v>
      </c>
      <c r="E6" s="873" t="s">
        <v>65</v>
      </c>
      <c r="F6" s="874"/>
      <c r="G6" s="873" t="s">
        <v>431</v>
      </c>
      <c r="H6" s="874"/>
      <c r="I6" s="875" t="s">
        <v>69</v>
      </c>
      <c r="J6" s="876"/>
      <c r="K6" s="877"/>
      <c r="L6" s="878"/>
    </row>
    <row r="7" spans="1:15" ht="14.4" thickTop="1" thickBot="1">
      <c r="B7" s="28" t="s">
        <v>614</v>
      </c>
      <c r="D7" s="169" t="s">
        <v>432</v>
      </c>
      <c r="E7" s="36" t="s">
        <v>71</v>
      </c>
      <c r="F7" s="37" t="s">
        <v>72</v>
      </c>
      <c r="G7" s="36" t="s">
        <v>71</v>
      </c>
      <c r="H7" s="37" t="s">
        <v>72</v>
      </c>
      <c r="I7" s="36" t="s">
        <v>71</v>
      </c>
      <c r="J7" s="38" t="s">
        <v>72</v>
      </c>
      <c r="K7" s="228"/>
      <c r="L7" s="41"/>
      <c r="M7" s="13"/>
      <c r="N7" s="13"/>
    </row>
    <row r="8" spans="1:15">
      <c r="A8" s="889"/>
      <c r="B8" s="871"/>
      <c r="C8" s="871"/>
      <c r="D8" s="871"/>
      <c r="E8" s="871"/>
      <c r="F8" s="871"/>
      <c r="G8" s="871"/>
      <c r="H8" s="871"/>
      <c r="I8" s="871"/>
      <c r="J8" s="871"/>
      <c r="K8" s="872"/>
      <c r="L8" s="872"/>
      <c r="M8" s="872"/>
      <c r="N8" s="872"/>
      <c r="O8" s="13"/>
    </row>
    <row r="9" spans="1:15">
      <c r="A9" s="493" t="s">
        <v>433</v>
      </c>
      <c r="B9" s="494"/>
      <c r="C9" s="495"/>
      <c r="D9" s="495"/>
      <c r="E9" s="496"/>
      <c r="F9" s="54"/>
      <c r="G9" s="54"/>
      <c r="H9" s="54"/>
      <c r="I9" s="54"/>
      <c r="J9" s="54"/>
      <c r="K9" s="13"/>
      <c r="L9" s="13"/>
      <c r="M9" s="13"/>
      <c r="N9" s="13"/>
    </row>
    <row r="10" spans="1:15">
      <c r="A10" s="497" t="s">
        <v>687</v>
      </c>
      <c r="B10" s="498" t="s">
        <v>958</v>
      </c>
      <c r="D10" s="499">
        <v>1500</v>
      </c>
      <c r="E10" s="122"/>
      <c r="F10" s="120"/>
      <c r="G10" s="120"/>
      <c r="H10" s="120"/>
      <c r="I10" s="54">
        <f>E10+G10</f>
        <v>0</v>
      </c>
      <c r="J10" s="54">
        <f>F10+H10</f>
        <v>0</v>
      </c>
      <c r="K10" s="13"/>
      <c r="L10" s="13"/>
      <c r="M10" s="13"/>
      <c r="N10" s="13"/>
    </row>
    <row r="11" spans="1:15">
      <c r="A11" s="114"/>
      <c r="B11" s="47"/>
      <c r="D11" s="500"/>
      <c r="E11" s="496"/>
      <c r="F11" s="54"/>
      <c r="G11" s="54"/>
      <c r="H11" s="54"/>
      <c r="I11" s="54"/>
      <c r="J11" s="54"/>
      <c r="K11" s="13"/>
      <c r="L11" s="13"/>
      <c r="M11" s="13"/>
      <c r="N11" s="13"/>
    </row>
    <row r="12" spans="1:15">
      <c r="A12" s="497" t="s">
        <v>434</v>
      </c>
      <c r="B12" s="501"/>
      <c r="C12" s="502"/>
      <c r="D12" s="503"/>
      <c r="E12" s="496"/>
      <c r="F12" s="54"/>
      <c r="G12" s="54"/>
      <c r="H12" s="54"/>
      <c r="I12" s="54"/>
      <c r="J12" s="54"/>
      <c r="K12" s="13"/>
      <c r="L12" s="13"/>
      <c r="M12" s="13"/>
      <c r="N12" s="13"/>
    </row>
    <row r="13" spans="1:15">
      <c r="A13" s="497" t="s">
        <v>688</v>
      </c>
      <c r="B13" s="501" t="s">
        <v>959</v>
      </c>
      <c r="C13" s="502"/>
      <c r="D13" s="503">
        <v>3000</v>
      </c>
      <c r="E13" s="122"/>
      <c r="F13" s="120"/>
      <c r="G13" s="120"/>
      <c r="H13" s="120"/>
      <c r="I13" s="54">
        <f>E13+G13</f>
        <v>0</v>
      </c>
      <c r="J13" s="54">
        <f>F13+H13</f>
        <v>0</v>
      </c>
      <c r="K13" s="13"/>
      <c r="L13" s="13"/>
      <c r="M13" s="13"/>
      <c r="N13" s="13"/>
    </row>
    <row r="14" spans="1:15">
      <c r="A14" s="497" t="s">
        <v>960</v>
      </c>
      <c r="B14" s="501" t="s">
        <v>435</v>
      </c>
      <c r="C14" s="502"/>
      <c r="D14" s="503">
        <v>800</v>
      </c>
      <c r="E14" s="122"/>
      <c r="F14" s="120"/>
      <c r="G14" s="120"/>
      <c r="H14" s="120"/>
      <c r="I14" s="54">
        <f>E14+G14</f>
        <v>0</v>
      </c>
      <c r="J14" s="54">
        <f>F14+H14</f>
        <v>0</v>
      </c>
      <c r="K14" s="13"/>
      <c r="L14" s="13"/>
      <c r="M14" s="13"/>
      <c r="N14" s="13"/>
    </row>
    <row r="15" spans="1:15">
      <c r="A15" s="114"/>
      <c r="B15" s="47"/>
      <c r="D15" s="500"/>
      <c r="E15" s="496"/>
      <c r="F15" s="54"/>
      <c r="G15" s="54"/>
      <c r="H15" s="54"/>
      <c r="I15" s="54"/>
      <c r="J15" s="54"/>
      <c r="K15" s="13"/>
      <c r="L15" s="13"/>
      <c r="M15" s="13"/>
      <c r="N15" s="13"/>
    </row>
    <row r="16" spans="1:15">
      <c r="A16" s="497" t="s">
        <v>436</v>
      </c>
      <c r="B16" s="47"/>
      <c r="D16" s="500"/>
      <c r="E16" s="496"/>
      <c r="F16" s="54"/>
      <c r="G16" s="54"/>
      <c r="H16" s="54"/>
      <c r="I16" s="54"/>
      <c r="J16" s="54"/>
      <c r="K16" s="13"/>
      <c r="L16" s="13"/>
      <c r="M16" s="13"/>
      <c r="N16" s="13"/>
    </row>
    <row r="17" spans="1:14">
      <c r="A17" s="497" t="s">
        <v>689</v>
      </c>
      <c r="B17" s="497" t="s">
        <v>437</v>
      </c>
      <c r="D17" s="499">
        <v>1000</v>
      </c>
      <c r="E17" s="122"/>
      <c r="F17" s="120"/>
      <c r="G17" s="120"/>
      <c r="H17" s="120"/>
      <c r="I17" s="54">
        <f>E17+G17</f>
        <v>0</v>
      </c>
      <c r="J17" s="54">
        <f>F17+H17</f>
        <v>0</v>
      </c>
      <c r="K17" s="13"/>
      <c r="L17" s="13"/>
      <c r="M17" s="13"/>
      <c r="N17" s="13"/>
    </row>
    <row r="18" spans="1:14">
      <c r="A18" s="114"/>
      <c r="B18" s="47"/>
      <c r="D18" s="500"/>
      <c r="E18" s="496"/>
      <c r="F18" s="54"/>
      <c r="G18" s="54"/>
      <c r="H18" s="54"/>
      <c r="I18" s="54"/>
      <c r="J18" s="54"/>
      <c r="K18" s="13"/>
      <c r="L18" s="13"/>
      <c r="M18" s="13"/>
      <c r="N18" s="13"/>
    </row>
    <row r="19" spans="1:14">
      <c r="A19" s="497" t="s">
        <v>438</v>
      </c>
      <c r="B19" s="501"/>
      <c r="D19" s="500"/>
      <c r="E19" s="496"/>
      <c r="F19" s="54"/>
      <c r="G19" s="54"/>
      <c r="H19" s="54"/>
      <c r="I19" s="54"/>
      <c r="J19" s="54"/>
      <c r="K19" s="13"/>
      <c r="L19" s="13"/>
      <c r="M19" s="13"/>
      <c r="N19" s="13"/>
    </row>
    <row r="20" spans="1:14">
      <c r="A20" s="497" t="s">
        <v>690</v>
      </c>
      <c r="B20" s="501" t="s">
        <v>439</v>
      </c>
      <c r="D20" s="503">
        <v>1800</v>
      </c>
      <c r="E20" s="122"/>
      <c r="F20" s="120"/>
      <c r="G20" s="120"/>
      <c r="H20" s="120"/>
      <c r="I20" s="54">
        <f t="shared" ref="I20:J23" si="0">E20+G20</f>
        <v>0</v>
      </c>
      <c r="J20" s="54">
        <f t="shared" si="0"/>
        <v>0</v>
      </c>
      <c r="K20" s="13"/>
      <c r="L20" s="13"/>
      <c r="M20" s="13"/>
      <c r="N20" s="13"/>
    </row>
    <row r="21" spans="1:14">
      <c r="A21" s="497" t="s">
        <v>691</v>
      </c>
      <c r="B21" s="501" t="s">
        <v>961</v>
      </c>
      <c r="C21" s="502"/>
      <c r="D21" s="503">
        <v>800</v>
      </c>
      <c r="E21" s="122"/>
      <c r="F21" s="120"/>
      <c r="G21" s="120"/>
      <c r="H21" s="120"/>
      <c r="I21" s="54">
        <f t="shared" si="0"/>
        <v>0</v>
      </c>
      <c r="J21" s="54">
        <f t="shared" si="0"/>
        <v>0</v>
      </c>
      <c r="K21" s="13"/>
      <c r="L21" s="13"/>
      <c r="M21" s="13"/>
      <c r="N21" s="13"/>
    </row>
    <row r="22" spans="1:14">
      <c r="A22" s="497" t="s">
        <v>962</v>
      </c>
      <c r="B22" s="501" t="s">
        <v>963</v>
      </c>
      <c r="C22" s="502"/>
      <c r="D22" s="503">
        <v>300</v>
      </c>
      <c r="E22" s="122"/>
      <c r="F22" s="120"/>
      <c r="G22" s="120"/>
      <c r="H22" s="120"/>
      <c r="I22" s="54">
        <f t="shared" si="0"/>
        <v>0</v>
      </c>
      <c r="J22" s="54">
        <f t="shared" si="0"/>
        <v>0</v>
      </c>
      <c r="K22" s="13"/>
      <c r="L22" s="13"/>
      <c r="M22" s="13"/>
      <c r="N22" s="13"/>
    </row>
    <row r="23" spans="1:14">
      <c r="A23" s="497" t="s">
        <v>964</v>
      </c>
      <c r="B23" s="501" t="s">
        <v>965</v>
      </c>
      <c r="C23" s="502"/>
      <c r="D23" s="503">
        <v>250</v>
      </c>
      <c r="E23" s="122"/>
      <c r="F23" s="120"/>
      <c r="G23" s="120"/>
      <c r="H23" s="120"/>
      <c r="I23" s="54">
        <f t="shared" si="0"/>
        <v>0</v>
      </c>
      <c r="J23" s="54">
        <f t="shared" si="0"/>
        <v>0</v>
      </c>
      <c r="K23" s="13"/>
      <c r="L23" s="13"/>
      <c r="M23" s="13"/>
      <c r="N23" s="13"/>
    </row>
    <row r="24" spans="1:14">
      <c r="A24" s="114"/>
      <c r="B24" s="47"/>
      <c r="D24" s="500"/>
      <c r="E24" s="496"/>
      <c r="F24" s="54"/>
      <c r="G24" s="54"/>
      <c r="H24" s="54"/>
      <c r="I24" s="54"/>
      <c r="J24" s="54"/>
      <c r="K24" s="13"/>
      <c r="L24" s="13"/>
      <c r="M24" s="13"/>
      <c r="N24" s="13"/>
    </row>
    <row r="25" spans="1:14">
      <c r="A25" s="497" t="s">
        <v>966</v>
      </c>
      <c r="B25" s="501"/>
      <c r="C25" s="502"/>
      <c r="D25" s="503"/>
      <c r="E25" s="496"/>
      <c r="F25" s="54"/>
      <c r="G25" s="54"/>
      <c r="H25" s="54"/>
      <c r="I25" s="54"/>
      <c r="J25" s="54"/>
      <c r="K25" s="13"/>
      <c r="L25" s="13"/>
      <c r="M25" s="13"/>
      <c r="N25" s="13"/>
    </row>
    <row r="26" spans="1:14">
      <c r="A26" s="497" t="s">
        <v>967</v>
      </c>
      <c r="B26" s="501" t="s">
        <v>968</v>
      </c>
      <c r="C26" s="502"/>
      <c r="D26" s="503">
        <v>500</v>
      </c>
      <c r="E26" s="122"/>
      <c r="F26" s="120"/>
      <c r="G26" s="120"/>
      <c r="H26" s="120"/>
      <c r="I26" s="54">
        <f>E26+G26</f>
        <v>0</v>
      </c>
      <c r="J26" s="54">
        <f>F26+H26</f>
        <v>0</v>
      </c>
      <c r="K26" s="13"/>
      <c r="L26" s="13"/>
      <c r="M26" s="13"/>
      <c r="N26" s="13"/>
    </row>
    <row r="27" spans="1:14">
      <c r="A27" s="114"/>
      <c r="B27" s="47"/>
      <c r="D27" s="500"/>
      <c r="E27" s="496"/>
      <c r="F27" s="54"/>
      <c r="G27" s="54"/>
      <c r="H27" s="54"/>
      <c r="I27" s="54"/>
      <c r="J27" s="54"/>
      <c r="K27" s="13"/>
      <c r="L27" s="13"/>
      <c r="M27" s="13"/>
      <c r="N27" s="13"/>
    </row>
    <row r="28" spans="1:14">
      <c r="A28" s="497" t="s">
        <v>969</v>
      </c>
      <c r="B28" s="501"/>
      <c r="C28" s="502"/>
      <c r="D28" s="503"/>
      <c r="E28" s="496"/>
      <c r="F28" s="54"/>
      <c r="G28" s="54"/>
      <c r="H28" s="54"/>
      <c r="I28" s="54"/>
      <c r="J28" s="54"/>
      <c r="K28" s="13"/>
      <c r="L28" s="13"/>
      <c r="M28" s="13"/>
      <c r="N28" s="13"/>
    </row>
    <row r="29" spans="1:14">
      <c r="A29" s="497" t="s">
        <v>970</v>
      </c>
      <c r="B29" s="504" t="s">
        <v>971</v>
      </c>
      <c r="C29" s="502"/>
      <c r="D29" s="503">
        <v>850</v>
      </c>
      <c r="E29" s="122"/>
      <c r="F29" s="120"/>
      <c r="G29" s="120"/>
      <c r="H29" s="120"/>
      <c r="I29" s="54">
        <f t="shared" ref="I29:J32" si="1">E29+G29</f>
        <v>0</v>
      </c>
      <c r="J29" s="54">
        <f t="shared" si="1"/>
        <v>0</v>
      </c>
      <c r="K29" s="13"/>
      <c r="L29" s="13"/>
      <c r="M29" s="13"/>
      <c r="N29" s="13"/>
    </row>
    <row r="30" spans="1:14">
      <c r="A30" s="497" t="s">
        <v>972</v>
      </c>
      <c r="B30" s="501" t="s">
        <v>973</v>
      </c>
      <c r="C30" s="502"/>
      <c r="D30" s="503">
        <v>120</v>
      </c>
      <c r="E30" s="122"/>
      <c r="F30" s="120"/>
      <c r="G30" s="120"/>
      <c r="H30" s="120"/>
      <c r="I30" s="54">
        <f t="shared" si="1"/>
        <v>0</v>
      </c>
      <c r="J30" s="54">
        <f t="shared" si="1"/>
        <v>0</v>
      </c>
      <c r="K30" s="13"/>
      <c r="L30" s="13"/>
      <c r="M30" s="13"/>
      <c r="N30" s="13"/>
    </row>
    <row r="31" spans="1:14">
      <c r="A31" s="497" t="s">
        <v>974</v>
      </c>
      <c r="B31" s="501" t="s">
        <v>975</v>
      </c>
      <c r="C31" s="502"/>
      <c r="D31" s="503">
        <v>150</v>
      </c>
      <c r="E31" s="122"/>
      <c r="F31" s="120"/>
      <c r="G31" s="120"/>
      <c r="H31" s="120"/>
      <c r="I31" s="54">
        <f t="shared" si="1"/>
        <v>0</v>
      </c>
      <c r="J31" s="54">
        <f t="shared" si="1"/>
        <v>0</v>
      </c>
      <c r="K31" s="13"/>
      <c r="L31" s="13"/>
      <c r="M31" s="13"/>
      <c r="N31" s="13"/>
    </row>
    <row r="32" spans="1:14">
      <c r="A32" s="497" t="s">
        <v>976</v>
      </c>
      <c r="B32" s="501" t="s">
        <v>323</v>
      </c>
      <c r="C32" s="502"/>
      <c r="D32" s="503">
        <v>150</v>
      </c>
      <c r="E32" s="122"/>
      <c r="F32" s="120"/>
      <c r="G32" s="120"/>
      <c r="H32" s="120"/>
      <c r="I32" s="54">
        <f t="shared" si="1"/>
        <v>0</v>
      </c>
      <c r="J32" s="54">
        <f t="shared" si="1"/>
        <v>0</v>
      </c>
      <c r="K32" s="13"/>
      <c r="L32" s="13"/>
      <c r="M32" s="13"/>
      <c r="N32" s="13"/>
    </row>
    <row r="33" spans="1:15">
      <c r="A33" s="505"/>
      <c r="B33" s="506"/>
      <c r="D33" s="507"/>
      <c r="E33" s="508"/>
      <c r="F33" s="58"/>
      <c r="G33" s="58"/>
      <c r="H33" s="58"/>
      <c r="I33" s="58"/>
      <c r="J33" s="58"/>
      <c r="K33" s="13"/>
      <c r="L33" s="13"/>
      <c r="M33" s="13"/>
      <c r="N33" s="13"/>
    </row>
    <row r="34" spans="1:15">
      <c r="A34" s="886" t="s">
        <v>977</v>
      </c>
      <c r="B34" s="887"/>
      <c r="C34" s="887"/>
      <c r="D34" s="887"/>
      <c r="E34" s="887"/>
      <c r="F34" s="887"/>
      <c r="G34" s="887"/>
      <c r="H34" s="887"/>
      <c r="I34" s="887"/>
      <c r="J34" s="887"/>
      <c r="K34" s="888"/>
      <c r="L34" s="888"/>
      <c r="M34" s="888"/>
      <c r="N34" s="888"/>
      <c r="O34" s="13"/>
    </row>
    <row r="35" spans="1:15">
      <c r="A35" s="509" t="s">
        <v>978</v>
      </c>
      <c r="B35" s="510"/>
      <c r="C35" s="495"/>
      <c r="D35" s="495"/>
      <c r="E35" s="496"/>
      <c r="F35" s="54"/>
      <c r="G35" s="54"/>
      <c r="H35" s="54"/>
      <c r="I35" s="54"/>
      <c r="J35" s="54"/>
      <c r="K35" s="13"/>
      <c r="L35" s="13"/>
      <c r="M35" s="13"/>
      <c r="N35" s="13"/>
    </row>
    <row r="36" spans="1:15">
      <c r="A36" s="497" t="s">
        <v>692</v>
      </c>
      <c r="B36" s="509" t="s">
        <v>979</v>
      </c>
      <c r="D36" s="503">
        <v>1500</v>
      </c>
      <c r="E36" s="122"/>
      <c r="F36" s="120"/>
      <c r="G36" s="120"/>
      <c r="H36" s="120"/>
      <c r="I36" s="54">
        <f>E36+G36</f>
        <v>0</v>
      </c>
      <c r="J36" s="54">
        <f>F36+H36</f>
        <v>0</v>
      </c>
      <c r="K36" s="13"/>
      <c r="L36" s="13"/>
      <c r="M36" s="13"/>
      <c r="N36" s="13"/>
    </row>
    <row r="37" spans="1:15">
      <c r="A37" s="114"/>
      <c r="B37" s="47"/>
      <c r="D37" s="500"/>
      <c r="E37" s="496"/>
      <c r="F37" s="54"/>
      <c r="G37" s="54"/>
      <c r="H37" s="54"/>
      <c r="I37" s="54"/>
      <c r="J37" s="54"/>
      <c r="K37" s="13"/>
      <c r="L37" s="13"/>
      <c r="M37" s="13"/>
      <c r="N37" s="13"/>
    </row>
    <row r="38" spans="1:15">
      <c r="A38" s="497" t="s">
        <v>980</v>
      </c>
      <c r="B38" s="501"/>
      <c r="C38" s="502"/>
      <c r="D38" s="503"/>
      <c r="E38" s="496"/>
      <c r="F38" s="54"/>
      <c r="G38" s="54"/>
      <c r="H38" s="54"/>
      <c r="I38" s="54"/>
      <c r="J38" s="54"/>
      <c r="K38" s="13"/>
      <c r="L38" s="13"/>
      <c r="M38" s="13"/>
      <c r="N38" s="13"/>
    </row>
    <row r="39" spans="1:15">
      <c r="A39" s="497" t="s">
        <v>693</v>
      </c>
      <c r="B39" s="497" t="s">
        <v>981</v>
      </c>
      <c r="C39" s="502"/>
      <c r="D39" s="503">
        <v>1500</v>
      </c>
      <c r="E39" s="122"/>
      <c r="F39" s="120"/>
      <c r="G39" s="120"/>
      <c r="H39" s="120"/>
      <c r="I39" s="54">
        <f>E39+G39</f>
        <v>0</v>
      </c>
      <c r="J39" s="54">
        <f>F39+H39</f>
        <v>0</v>
      </c>
      <c r="K39" s="13"/>
      <c r="L39" s="13"/>
      <c r="M39" s="13"/>
      <c r="N39" s="13"/>
    </row>
    <row r="40" spans="1:15">
      <c r="A40" s="114"/>
      <c r="B40" s="47"/>
      <c r="D40" s="500"/>
      <c r="E40" s="496"/>
      <c r="F40" s="54"/>
      <c r="G40" s="54"/>
      <c r="H40" s="54"/>
      <c r="I40" s="54"/>
      <c r="J40" s="54"/>
      <c r="K40" s="13"/>
      <c r="L40" s="13"/>
      <c r="M40" s="13"/>
      <c r="N40" s="13"/>
    </row>
    <row r="41" spans="1:15">
      <c r="A41" s="497" t="s">
        <v>982</v>
      </c>
      <c r="B41" s="47"/>
      <c r="D41" s="500"/>
      <c r="E41" s="496"/>
      <c r="F41" s="54"/>
      <c r="G41" s="54"/>
      <c r="H41" s="54"/>
      <c r="I41" s="54"/>
      <c r="J41" s="54"/>
      <c r="K41" s="13"/>
      <c r="L41" s="13"/>
      <c r="M41" s="13"/>
      <c r="N41" s="13"/>
    </row>
    <row r="42" spans="1:15">
      <c r="A42" s="114" t="s">
        <v>694</v>
      </c>
      <c r="B42" s="497" t="s">
        <v>983</v>
      </c>
      <c r="C42" s="502"/>
      <c r="D42" s="503">
        <v>1500</v>
      </c>
      <c r="E42" s="122"/>
      <c r="F42" s="120"/>
      <c r="G42" s="120"/>
      <c r="H42" s="120"/>
      <c r="I42" s="54">
        <f>E42+G42</f>
        <v>0</v>
      </c>
      <c r="J42" s="54">
        <f>F42+H42</f>
        <v>0</v>
      </c>
      <c r="K42" s="13"/>
      <c r="L42" s="13"/>
      <c r="M42" s="13"/>
      <c r="N42" s="13"/>
    </row>
    <row r="43" spans="1:15">
      <c r="A43" s="114"/>
      <c r="B43" s="114"/>
      <c r="D43" s="500"/>
      <c r="E43" s="496"/>
      <c r="F43" s="54"/>
      <c r="G43" s="54"/>
      <c r="H43" s="54"/>
      <c r="I43" s="54"/>
      <c r="J43" s="54"/>
      <c r="K43" s="13"/>
      <c r="L43" s="13"/>
      <c r="M43" s="13"/>
      <c r="N43" s="13"/>
    </row>
    <row r="44" spans="1:15">
      <c r="A44" s="497" t="s">
        <v>984</v>
      </c>
      <c r="B44" s="501"/>
      <c r="C44" s="502"/>
      <c r="D44" s="503"/>
      <c r="E44" s="496"/>
      <c r="F44" s="54"/>
      <c r="G44" s="54"/>
      <c r="H44" s="54"/>
      <c r="I44" s="54"/>
      <c r="J44" s="54"/>
      <c r="K44" s="13"/>
      <c r="L44" s="13"/>
      <c r="M44" s="13"/>
      <c r="N44" s="13"/>
    </row>
    <row r="45" spans="1:15">
      <c r="A45" s="497" t="s">
        <v>695</v>
      </c>
      <c r="B45" s="497" t="s">
        <v>985</v>
      </c>
      <c r="C45" s="502"/>
      <c r="D45" s="503">
        <v>1500</v>
      </c>
      <c r="E45" s="122"/>
      <c r="F45" s="120"/>
      <c r="G45" s="120"/>
      <c r="H45" s="120"/>
      <c r="I45" s="54">
        <f>E45+G45</f>
        <v>0</v>
      </c>
      <c r="J45" s="54">
        <f>F45+H45</f>
        <v>0</v>
      </c>
      <c r="K45" s="13"/>
      <c r="L45" s="13"/>
      <c r="M45" s="13"/>
      <c r="N45" s="13"/>
    </row>
    <row r="46" spans="1:15">
      <c r="A46" s="497"/>
      <c r="B46" s="501"/>
      <c r="C46" s="502"/>
      <c r="D46" s="503"/>
      <c r="E46" s="496"/>
      <c r="F46" s="54"/>
      <c r="G46" s="54"/>
      <c r="H46" s="54"/>
      <c r="I46" s="54"/>
      <c r="J46" s="54"/>
      <c r="K46" s="13"/>
      <c r="L46" s="13"/>
      <c r="M46" s="13"/>
      <c r="N46" s="13"/>
    </row>
    <row r="47" spans="1:15">
      <c r="A47" s="497" t="s">
        <v>986</v>
      </c>
      <c r="B47" s="501"/>
      <c r="C47" s="502"/>
      <c r="D47" s="503"/>
      <c r="E47" s="496"/>
      <c r="F47" s="54"/>
      <c r="G47" s="54"/>
      <c r="H47" s="54"/>
      <c r="I47" s="54"/>
      <c r="J47" s="54"/>
      <c r="K47" s="13"/>
      <c r="L47" s="13"/>
      <c r="M47" s="13"/>
      <c r="N47" s="13"/>
    </row>
    <row r="48" spans="1:15">
      <c r="A48" s="497" t="s">
        <v>696</v>
      </c>
      <c r="B48" s="497" t="s">
        <v>987</v>
      </c>
      <c r="C48" s="502"/>
      <c r="D48" s="503">
        <v>1500</v>
      </c>
      <c r="E48" s="122"/>
      <c r="F48" s="120"/>
      <c r="G48" s="120"/>
      <c r="H48" s="120"/>
      <c r="I48" s="54">
        <f>E48+G48</f>
        <v>0</v>
      </c>
      <c r="J48" s="54">
        <f>F48+H48</f>
        <v>0</v>
      </c>
      <c r="K48" s="13"/>
      <c r="L48" s="13"/>
      <c r="M48" s="13"/>
      <c r="N48" s="13"/>
    </row>
    <row r="49" spans="1:14">
      <c r="A49" s="497"/>
      <c r="B49" s="501"/>
      <c r="C49" s="502"/>
      <c r="D49" s="503"/>
      <c r="E49" s="496"/>
      <c r="F49" s="54"/>
      <c r="G49" s="54"/>
      <c r="H49" s="54"/>
      <c r="I49" s="54"/>
      <c r="J49" s="54"/>
      <c r="K49" s="13"/>
      <c r="L49" s="13"/>
      <c r="M49" s="13"/>
      <c r="N49" s="13"/>
    </row>
    <row r="50" spans="1:14">
      <c r="A50" s="497" t="s">
        <v>988</v>
      </c>
      <c r="B50" s="501"/>
      <c r="C50" s="502"/>
      <c r="D50" s="503"/>
      <c r="E50" s="496"/>
      <c r="F50" s="54"/>
      <c r="G50" s="54"/>
      <c r="H50" s="54"/>
      <c r="I50" s="54"/>
      <c r="J50" s="54"/>
      <c r="K50" s="13"/>
      <c r="L50" s="13"/>
      <c r="M50" s="13"/>
      <c r="N50" s="13"/>
    </row>
    <row r="51" spans="1:14">
      <c r="A51" s="497" t="s">
        <v>697</v>
      </c>
      <c r="B51" s="497" t="s">
        <v>989</v>
      </c>
      <c r="C51" s="502"/>
      <c r="D51" s="503">
        <v>1500</v>
      </c>
      <c r="E51" s="122"/>
      <c r="F51" s="120"/>
      <c r="G51" s="120"/>
      <c r="H51" s="120"/>
      <c r="I51" s="54">
        <f>E51+G51</f>
        <v>0</v>
      </c>
      <c r="J51" s="54">
        <f>F51+H51</f>
        <v>0</v>
      </c>
      <c r="K51" s="13"/>
      <c r="L51" s="13"/>
      <c r="M51" s="13"/>
      <c r="N51" s="13"/>
    </row>
    <row r="52" spans="1:14">
      <c r="A52" s="497"/>
      <c r="B52" s="501"/>
      <c r="C52" s="502"/>
      <c r="D52" s="503"/>
      <c r="E52" s="496"/>
      <c r="F52" s="54"/>
      <c r="G52" s="54"/>
      <c r="H52" s="54"/>
      <c r="I52" s="54"/>
      <c r="J52" s="54"/>
      <c r="K52" s="13"/>
      <c r="L52" s="13"/>
      <c r="M52" s="13"/>
      <c r="N52" s="13"/>
    </row>
    <row r="53" spans="1:14">
      <c r="A53" s="497" t="s">
        <v>990</v>
      </c>
      <c r="B53" s="501"/>
      <c r="C53" s="502"/>
      <c r="D53" s="503"/>
      <c r="E53" s="496"/>
      <c r="F53" s="54"/>
      <c r="G53" s="54"/>
      <c r="H53" s="54"/>
      <c r="I53" s="54"/>
      <c r="J53" s="54"/>
      <c r="K53" s="13"/>
      <c r="L53" s="13"/>
      <c r="M53" s="13"/>
      <c r="N53" s="13"/>
    </row>
    <row r="54" spans="1:14">
      <c r="A54" s="497" t="s">
        <v>698</v>
      </c>
      <c r="B54" s="497" t="s">
        <v>991</v>
      </c>
      <c r="C54" s="502"/>
      <c r="D54" s="503">
        <v>1500</v>
      </c>
      <c r="E54" s="122"/>
      <c r="F54" s="120"/>
      <c r="G54" s="120"/>
      <c r="H54" s="120"/>
      <c r="I54" s="54">
        <f>E54+G54</f>
        <v>0</v>
      </c>
      <c r="J54" s="54">
        <f>F54+H54</f>
        <v>0</v>
      </c>
      <c r="K54" s="13"/>
      <c r="L54" s="13"/>
      <c r="M54" s="13"/>
      <c r="N54" s="13"/>
    </row>
    <row r="55" spans="1:14">
      <c r="A55" s="497"/>
      <c r="B55" s="501"/>
      <c r="C55" s="502"/>
      <c r="D55" s="503"/>
      <c r="E55" s="496"/>
      <c r="F55" s="54"/>
      <c r="G55" s="54"/>
      <c r="H55" s="54"/>
      <c r="I55" s="54"/>
      <c r="J55" s="54"/>
      <c r="K55" s="13"/>
      <c r="L55" s="13"/>
      <c r="M55" s="13"/>
      <c r="N55" s="13"/>
    </row>
    <row r="56" spans="1:14">
      <c r="A56" s="497" t="s">
        <v>440</v>
      </c>
      <c r="B56" s="501"/>
      <c r="C56" s="502"/>
      <c r="D56" s="503"/>
      <c r="E56" s="496"/>
      <c r="F56" s="54"/>
      <c r="G56" s="54"/>
      <c r="H56" s="54"/>
      <c r="I56" s="54"/>
      <c r="J56" s="54"/>
      <c r="K56" s="13"/>
      <c r="L56" s="13"/>
      <c r="M56" s="13"/>
      <c r="N56" s="13"/>
    </row>
    <row r="57" spans="1:14">
      <c r="A57" s="497" t="s">
        <v>699</v>
      </c>
      <c r="B57" s="497" t="s">
        <v>992</v>
      </c>
      <c r="C57" s="502"/>
      <c r="D57" s="503">
        <v>1500</v>
      </c>
      <c r="E57" s="122"/>
      <c r="F57" s="120"/>
      <c r="G57" s="120"/>
      <c r="H57" s="120"/>
      <c r="I57" s="54">
        <f>E57+G57</f>
        <v>0</v>
      </c>
      <c r="J57" s="54">
        <f>F57+H57</f>
        <v>0</v>
      </c>
      <c r="K57" s="13"/>
      <c r="L57" s="13"/>
      <c r="M57" s="13"/>
      <c r="N57" s="13"/>
    </row>
    <row r="58" spans="1:14">
      <c r="A58" s="497"/>
      <c r="B58" s="501"/>
      <c r="C58" s="502"/>
      <c r="D58" s="503"/>
      <c r="E58" s="496"/>
      <c r="F58" s="54"/>
      <c r="G58" s="54"/>
      <c r="H58" s="54"/>
      <c r="I58" s="54"/>
      <c r="J58" s="54"/>
      <c r="K58" s="13"/>
      <c r="L58" s="13"/>
      <c r="M58" s="13"/>
      <c r="N58" s="13"/>
    </row>
    <row r="59" spans="1:14">
      <c r="A59" s="497" t="s">
        <v>993</v>
      </c>
      <c r="B59" s="501"/>
      <c r="C59" s="502"/>
      <c r="D59" s="503"/>
      <c r="E59" s="496"/>
      <c r="F59" s="54"/>
      <c r="G59" s="54"/>
      <c r="H59" s="54"/>
      <c r="I59" s="54"/>
      <c r="J59" s="54"/>
      <c r="K59" s="13"/>
      <c r="L59" s="13"/>
      <c r="M59" s="13"/>
      <c r="N59" s="13"/>
    </row>
    <row r="60" spans="1:14">
      <c r="A60" s="497" t="s">
        <v>700</v>
      </c>
      <c r="B60" s="497" t="s">
        <v>994</v>
      </c>
      <c r="C60" s="502"/>
      <c r="D60" s="503">
        <v>1500</v>
      </c>
      <c r="E60" s="122"/>
      <c r="F60" s="120"/>
      <c r="G60" s="120"/>
      <c r="H60" s="120"/>
      <c r="I60" s="54">
        <f>E60+G60</f>
        <v>0</v>
      </c>
      <c r="J60" s="54">
        <f>F60+H60</f>
        <v>0</v>
      </c>
      <c r="K60" s="13"/>
      <c r="L60" s="13"/>
      <c r="M60" s="13"/>
      <c r="N60" s="13"/>
    </row>
    <row r="61" spans="1:14">
      <c r="A61" s="497"/>
      <c r="B61" s="501"/>
      <c r="C61" s="502"/>
      <c r="D61" s="503"/>
      <c r="E61" s="496"/>
      <c r="F61" s="54"/>
      <c r="G61" s="54"/>
      <c r="H61" s="54"/>
      <c r="I61" s="54"/>
      <c r="J61" s="54"/>
      <c r="K61" s="13"/>
      <c r="L61" s="13"/>
      <c r="M61" s="13"/>
      <c r="N61" s="13"/>
    </row>
    <row r="62" spans="1:14">
      <c r="A62" s="497" t="s">
        <v>995</v>
      </c>
      <c r="B62" s="501"/>
      <c r="C62" s="502"/>
      <c r="D62" s="503"/>
      <c r="E62" s="496"/>
      <c r="F62" s="54"/>
      <c r="G62" s="54"/>
      <c r="H62" s="54"/>
      <c r="I62" s="54"/>
      <c r="J62" s="54"/>
      <c r="K62" s="13"/>
      <c r="L62" s="13"/>
      <c r="M62" s="13"/>
      <c r="N62" s="13"/>
    </row>
    <row r="63" spans="1:14">
      <c r="A63" s="497" t="s">
        <v>996</v>
      </c>
      <c r="B63" s="497" t="s">
        <v>997</v>
      </c>
      <c r="C63" s="502"/>
      <c r="D63" s="503">
        <v>1500</v>
      </c>
      <c r="E63" s="122"/>
      <c r="F63" s="120"/>
      <c r="G63" s="120"/>
      <c r="H63" s="120"/>
      <c r="I63" s="54">
        <f>E63+G63</f>
        <v>0</v>
      </c>
      <c r="J63" s="54">
        <f>F63+H63</f>
        <v>0</v>
      </c>
      <c r="K63" s="13"/>
      <c r="L63" s="13"/>
      <c r="M63" s="13"/>
      <c r="N63" s="13"/>
    </row>
    <row r="64" spans="1:14">
      <c r="A64" s="497"/>
      <c r="B64" s="501"/>
      <c r="C64" s="502"/>
      <c r="D64" s="511"/>
      <c r="E64" s="496"/>
      <c r="F64" s="54"/>
      <c r="G64" s="54"/>
      <c r="H64" s="54"/>
      <c r="I64" s="54"/>
      <c r="J64" s="54"/>
      <c r="K64" s="13"/>
      <c r="L64" s="13"/>
      <c r="M64" s="13"/>
      <c r="N64" s="13"/>
    </row>
    <row r="65" spans="1:14">
      <c r="A65" s="497" t="s">
        <v>969</v>
      </c>
      <c r="B65" s="501"/>
      <c r="C65" s="502"/>
      <c r="D65" s="511"/>
      <c r="E65" s="496"/>
      <c r="F65" s="54"/>
      <c r="G65" s="54"/>
      <c r="H65" s="54"/>
      <c r="I65" s="54"/>
      <c r="J65" s="54"/>
      <c r="K65" s="13"/>
      <c r="L65" s="13"/>
      <c r="M65" s="13"/>
      <c r="N65" s="13"/>
    </row>
    <row r="66" spans="1:14">
      <c r="A66" s="497" t="s">
        <v>998</v>
      </c>
      <c r="B66" s="504" t="s">
        <v>971</v>
      </c>
      <c r="C66" s="502"/>
      <c r="D66" s="503">
        <v>850</v>
      </c>
      <c r="E66" s="122"/>
      <c r="F66" s="120"/>
      <c r="G66" s="120"/>
      <c r="H66" s="120"/>
      <c r="I66" s="54">
        <f t="shared" ref="I66:J68" si="2">E66+G66</f>
        <v>0</v>
      </c>
      <c r="J66" s="54">
        <f t="shared" si="2"/>
        <v>0</v>
      </c>
      <c r="K66" s="13"/>
      <c r="L66" s="13"/>
      <c r="M66" s="13"/>
      <c r="N66" s="13"/>
    </row>
    <row r="67" spans="1:14">
      <c r="A67" s="497" t="s">
        <v>999</v>
      </c>
      <c r="B67" s="501" t="s">
        <v>973</v>
      </c>
      <c r="C67" s="502"/>
      <c r="D67" s="503">
        <v>120</v>
      </c>
      <c r="E67" s="122"/>
      <c r="F67" s="120"/>
      <c r="G67" s="120"/>
      <c r="H67" s="120"/>
      <c r="I67" s="54">
        <f t="shared" si="2"/>
        <v>0</v>
      </c>
      <c r="J67" s="54">
        <f t="shared" si="2"/>
        <v>0</v>
      </c>
      <c r="K67" s="13"/>
      <c r="L67" s="13"/>
      <c r="M67" s="13"/>
      <c r="N67" s="13"/>
    </row>
    <row r="68" spans="1:14">
      <c r="A68" s="512" t="s">
        <v>1000</v>
      </c>
      <c r="B68" s="513" t="s">
        <v>323</v>
      </c>
      <c r="C68" s="502"/>
      <c r="D68" s="514">
        <v>100</v>
      </c>
      <c r="E68" s="515"/>
      <c r="F68" s="516"/>
      <c r="G68" s="516"/>
      <c r="H68" s="516"/>
      <c r="I68" s="517">
        <f t="shared" si="2"/>
        <v>0</v>
      </c>
      <c r="J68" s="54">
        <f t="shared" si="2"/>
        <v>0</v>
      </c>
      <c r="K68" s="13"/>
      <c r="L68" s="13"/>
      <c r="M68" s="13"/>
      <c r="N68" s="13"/>
    </row>
    <row r="69" spans="1:14">
      <c r="A69" s="518"/>
      <c r="B69" s="519"/>
      <c r="D69" s="520"/>
      <c r="E69" s="521"/>
      <c r="F69" s="522"/>
      <c r="G69" s="522"/>
      <c r="H69" s="522"/>
      <c r="I69" s="522"/>
      <c r="J69" s="58"/>
      <c r="K69" s="13"/>
      <c r="L69" s="13"/>
      <c r="M69" s="13"/>
      <c r="N69" s="13"/>
    </row>
    <row r="70" spans="1:14">
      <c r="A70" s="890" t="s">
        <v>1001</v>
      </c>
      <c r="B70" s="891"/>
      <c r="C70" s="891"/>
      <c r="D70" s="891"/>
      <c r="E70" s="891"/>
      <c r="F70" s="891"/>
      <c r="G70" s="891"/>
      <c r="H70" s="891"/>
      <c r="I70" s="891"/>
      <c r="J70" s="891"/>
      <c r="K70" s="872"/>
      <c r="L70" s="872"/>
      <c r="M70" s="872"/>
      <c r="N70" s="872"/>
    </row>
    <row r="71" spans="1:14">
      <c r="A71" s="497" t="s">
        <v>701</v>
      </c>
      <c r="B71" s="509" t="s">
        <v>1002</v>
      </c>
      <c r="C71" s="523"/>
      <c r="D71" s="503">
        <v>1200</v>
      </c>
      <c r="E71" s="122"/>
      <c r="F71" s="120"/>
      <c r="G71" s="120"/>
      <c r="H71" s="120"/>
      <c r="I71" s="54">
        <f t="shared" ref="I71:J75" si="3">E71+G71</f>
        <v>0</v>
      </c>
      <c r="J71" s="54">
        <f t="shared" si="3"/>
        <v>0</v>
      </c>
      <c r="K71" s="13"/>
      <c r="L71" s="13"/>
      <c r="M71" s="13"/>
      <c r="N71" s="13"/>
    </row>
    <row r="72" spans="1:14">
      <c r="A72" s="497" t="s">
        <v>702</v>
      </c>
      <c r="B72" s="501" t="s">
        <v>1003</v>
      </c>
      <c r="C72" s="511"/>
      <c r="D72" s="503">
        <v>600</v>
      </c>
      <c r="E72" s="122"/>
      <c r="F72" s="120"/>
      <c r="G72" s="120"/>
      <c r="H72" s="120"/>
      <c r="I72" s="54">
        <f t="shared" si="3"/>
        <v>0</v>
      </c>
      <c r="J72" s="54">
        <f t="shared" si="3"/>
        <v>0</v>
      </c>
      <c r="K72" s="13"/>
      <c r="L72" s="13"/>
      <c r="M72" s="13"/>
      <c r="N72" s="13"/>
    </row>
    <row r="73" spans="1:14">
      <c r="A73" s="497" t="s">
        <v>703</v>
      </c>
      <c r="B73" s="501" t="s">
        <v>1004</v>
      </c>
      <c r="C73" s="511"/>
      <c r="D73" s="503">
        <v>550</v>
      </c>
      <c r="E73" s="122"/>
      <c r="F73" s="120"/>
      <c r="G73" s="120"/>
      <c r="H73" s="120"/>
      <c r="I73" s="54">
        <f t="shared" si="3"/>
        <v>0</v>
      </c>
      <c r="J73" s="54">
        <f t="shared" si="3"/>
        <v>0</v>
      </c>
      <c r="K73" s="13"/>
      <c r="L73" s="13"/>
      <c r="M73" s="13"/>
      <c r="N73" s="13"/>
    </row>
    <row r="74" spans="1:14">
      <c r="A74" s="497" t="s">
        <v>704</v>
      </c>
      <c r="B74" s="501" t="s">
        <v>1005</v>
      </c>
      <c r="C74" s="511"/>
      <c r="D74" s="503">
        <v>150</v>
      </c>
      <c r="E74" s="122"/>
      <c r="F74" s="120"/>
      <c r="G74" s="120"/>
      <c r="H74" s="120"/>
      <c r="I74" s="54">
        <f t="shared" si="3"/>
        <v>0</v>
      </c>
      <c r="J74" s="54">
        <f t="shared" si="3"/>
        <v>0</v>
      </c>
      <c r="K74" s="13"/>
      <c r="L74" s="13"/>
      <c r="M74" s="13"/>
      <c r="N74" s="13"/>
    </row>
    <row r="75" spans="1:14">
      <c r="A75" s="497" t="s">
        <v>705</v>
      </c>
      <c r="B75" s="501" t="s">
        <v>1006</v>
      </c>
      <c r="C75" s="511"/>
      <c r="D75" s="503">
        <v>50</v>
      </c>
      <c r="E75" s="122"/>
      <c r="F75" s="120"/>
      <c r="G75" s="120"/>
      <c r="H75" s="120"/>
      <c r="I75" s="54">
        <f t="shared" si="3"/>
        <v>0</v>
      </c>
      <c r="J75" s="54">
        <f t="shared" si="3"/>
        <v>0</v>
      </c>
      <c r="K75" s="13"/>
      <c r="L75" s="13"/>
      <c r="M75" s="13"/>
      <c r="N75" s="13"/>
    </row>
    <row r="76" spans="1:14">
      <c r="A76" s="114"/>
      <c r="B76" s="47"/>
      <c r="C76" s="524"/>
      <c r="D76" s="500"/>
      <c r="E76" s="496"/>
      <c r="F76" s="54"/>
      <c r="G76" s="54"/>
      <c r="H76" s="54"/>
      <c r="I76" s="54"/>
      <c r="J76" s="54"/>
      <c r="K76" s="13"/>
      <c r="L76" s="13"/>
      <c r="M76" s="13"/>
      <c r="N76" s="13"/>
    </row>
    <row r="77" spans="1:14">
      <c r="A77" s="497" t="s">
        <v>594</v>
      </c>
      <c r="B77" s="501"/>
      <c r="C77" s="511"/>
      <c r="D77" s="503"/>
      <c r="E77" s="496"/>
      <c r="F77" s="54"/>
      <c r="G77" s="54"/>
      <c r="H77" s="54"/>
      <c r="I77" s="54"/>
      <c r="J77" s="54"/>
      <c r="K77" s="13"/>
      <c r="L77" s="13"/>
      <c r="M77" s="13"/>
      <c r="N77" s="13"/>
    </row>
    <row r="78" spans="1:14">
      <c r="A78" s="497" t="s">
        <v>1007</v>
      </c>
      <c r="B78" s="501" t="s">
        <v>1008</v>
      </c>
      <c r="C78" s="511"/>
      <c r="D78" s="503">
        <v>1500</v>
      </c>
      <c r="E78" s="122"/>
      <c r="F78" s="120"/>
      <c r="G78" s="120"/>
      <c r="H78" s="120"/>
      <c r="I78" s="54">
        <f>E78+G78</f>
        <v>0</v>
      </c>
      <c r="J78" s="54">
        <f>F78+H78</f>
        <v>0</v>
      </c>
      <c r="K78" s="13"/>
      <c r="L78" s="13"/>
      <c r="M78" s="13"/>
      <c r="N78" s="13"/>
    </row>
    <row r="79" spans="1:14">
      <c r="A79" s="114"/>
      <c r="B79" s="47"/>
      <c r="C79" s="524"/>
      <c r="D79" s="500"/>
      <c r="E79" s="496"/>
      <c r="F79" s="54"/>
      <c r="G79" s="54"/>
      <c r="H79" s="54"/>
      <c r="I79" s="54"/>
      <c r="J79" s="54"/>
      <c r="K79" s="13"/>
      <c r="L79" s="13"/>
      <c r="M79" s="13"/>
      <c r="N79" s="13"/>
    </row>
    <row r="80" spans="1:14">
      <c r="A80" s="497" t="s">
        <v>441</v>
      </c>
      <c r="B80" s="501"/>
      <c r="C80" s="511"/>
      <c r="D80" s="503"/>
      <c r="E80" s="496"/>
      <c r="F80" s="54"/>
      <c r="G80" s="54"/>
      <c r="H80" s="54"/>
      <c r="I80" s="54"/>
      <c r="J80" s="54"/>
      <c r="K80" s="13"/>
      <c r="L80" s="13"/>
      <c r="M80" s="13"/>
      <c r="N80" s="13"/>
    </row>
    <row r="81" spans="1:14">
      <c r="A81" s="497" t="s">
        <v>706</v>
      </c>
      <c r="B81" s="497" t="s">
        <v>1009</v>
      </c>
      <c r="C81" s="523"/>
      <c r="D81" s="503">
        <v>1200</v>
      </c>
      <c r="E81" s="122"/>
      <c r="F81" s="120"/>
      <c r="G81" s="120"/>
      <c r="H81" s="120"/>
      <c r="I81" s="54">
        <f>E81+G81</f>
        <v>0</v>
      </c>
      <c r="J81" s="54">
        <f>F81+H81</f>
        <v>0</v>
      </c>
      <c r="K81" s="13"/>
      <c r="L81" s="13"/>
      <c r="M81" s="13"/>
      <c r="N81" s="13"/>
    </row>
    <row r="82" spans="1:14">
      <c r="A82" s="114"/>
      <c r="B82" s="47"/>
      <c r="C82" s="524"/>
      <c r="D82" s="500"/>
      <c r="E82" s="496"/>
      <c r="F82" s="54"/>
      <c r="G82" s="54"/>
      <c r="H82" s="54"/>
      <c r="I82" s="54"/>
      <c r="J82" s="54"/>
      <c r="K82" s="13"/>
      <c r="L82" s="13"/>
      <c r="M82" s="13"/>
      <c r="N82" s="13"/>
    </row>
    <row r="83" spans="1:14">
      <c r="A83" s="497" t="s">
        <v>1010</v>
      </c>
      <c r="B83" s="501"/>
      <c r="C83" s="511"/>
      <c r="D83" s="503"/>
      <c r="E83" s="496"/>
      <c r="F83" s="54"/>
      <c r="G83" s="54"/>
      <c r="H83" s="54"/>
      <c r="I83" s="54"/>
      <c r="J83" s="54"/>
      <c r="K83" s="13"/>
      <c r="L83" s="13"/>
      <c r="M83" s="13"/>
      <c r="N83" s="13"/>
    </row>
    <row r="84" spans="1:14">
      <c r="A84" s="497" t="s">
        <v>707</v>
      </c>
      <c r="B84" s="497" t="s">
        <v>1011</v>
      </c>
      <c r="C84" s="523"/>
      <c r="D84" s="503">
        <v>1200</v>
      </c>
      <c r="E84" s="122"/>
      <c r="F84" s="120"/>
      <c r="G84" s="120"/>
      <c r="H84" s="120"/>
      <c r="I84" s="54">
        <f>E84+G84</f>
        <v>0</v>
      </c>
      <c r="J84" s="54">
        <f>F84+H84</f>
        <v>0</v>
      </c>
      <c r="K84" s="13"/>
      <c r="L84" s="13"/>
      <c r="M84" s="13"/>
      <c r="N84" s="13"/>
    </row>
    <row r="85" spans="1:14">
      <c r="A85" s="497" t="s">
        <v>708</v>
      </c>
      <c r="B85" s="501" t="s">
        <v>1003</v>
      </c>
      <c r="C85" s="511"/>
      <c r="D85" s="503">
        <v>600</v>
      </c>
      <c r="E85" s="122"/>
      <c r="F85" s="120"/>
      <c r="G85" s="120"/>
      <c r="H85" s="120"/>
      <c r="I85" s="54">
        <f>E85+G85</f>
        <v>0</v>
      </c>
      <c r="J85" s="54">
        <f>F85+H85</f>
        <v>0</v>
      </c>
      <c r="K85" s="13"/>
      <c r="L85" s="13"/>
      <c r="M85" s="13"/>
      <c r="N85" s="13"/>
    </row>
    <row r="86" spans="1:14">
      <c r="A86" s="497"/>
      <c r="B86" s="501"/>
      <c r="C86" s="511"/>
      <c r="D86" s="503"/>
      <c r="E86" s="496"/>
      <c r="F86" s="54"/>
      <c r="G86" s="54"/>
      <c r="H86" s="54"/>
      <c r="I86" s="54"/>
      <c r="J86" s="54"/>
      <c r="K86" s="13"/>
      <c r="L86" s="13"/>
      <c r="M86" s="13"/>
      <c r="N86" s="13"/>
    </row>
    <row r="87" spans="1:14">
      <c r="A87" s="497" t="s">
        <v>442</v>
      </c>
      <c r="B87" s="501"/>
      <c r="C87" s="511"/>
      <c r="D87" s="503"/>
      <c r="E87" s="496"/>
      <c r="F87" s="54"/>
      <c r="G87" s="54"/>
      <c r="H87" s="54"/>
      <c r="I87" s="54"/>
      <c r="J87" s="54"/>
      <c r="K87" s="13"/>
      <c r="L87" s="13"/>
      <c r="M87" s="13"/>
      <c r="N87" s="13"/>
    </row>
    <row r="88" spans="1:14">
      <c r="A88" s="497" t="s">
        <v>709</v>
      </c>
      <c r="B88" s="497" t="s">
        <v>1012</v>
      </c>
      <c r="C88" s="523"/>
      <c r="D88" s="503">
        <v>1200</v>
      </c>
      <c r="E88" s="122"/>
      <c r="F88" s="120"/>
      <c r="G88" s="120"/>
      <c r="H88" s="120"/>
      <c r="I88" s="54">
        <f>E88+G88</f>
        <v>0</v>
      </c>
      <c r="J88" s="54">
        <f>F88+H88</f>
        <v>0</v>
      </c>
      <c r="K88" s="13"/>
      <c r="L88" s="13"/>
      <c r="M88" s="13"/>
      <c r="N88" s="13"/>
    </row>
    <row r="89" spans="1:14">
      <c r="A89" s="497"/>
      <c r="B89" s="501"/>
      <c r="C89" s="511"/>
      <c r="D89" s="503"/>
      <c r="E89" s="496"/>
      <c r="F89" s="54"/>
      <c r="G89" s="54"/>
      <c r="H89" s="54"/>
      <c r="I89" s="54"/>
      <c r="J89" s="54"/>
      <c r="K89" s="13"/>
      <c r="L89" s="13"/>
      <c r="M89" s="13"/>
      <c r="N89" s="13"/>
    </row>
    <row r="90" spans="1:14">
      <c r="A90" s="497" t="s">
        <v>443</v>
      </c>
      <c r="B90" s="501"/>
      <c r="C90" s="511"/>
      <c r="D90" s="503"/>
      <c r="E90" s="496"/>
      <c r="F90" s="54"/>
      <c r="G90" s="54"/>
      <c r="H90" s="54"/>
      <c r="I90" s="54"/>
      <c r="J90" s="54"/>
      <c r="K90" s="13"/>
      <c r="L90" s="13"/>
      <c r="M90" s="13"/>
      <c r="N90" s="13"/>
    </row>
    <row r="91" spans="1:14">
      <c r="A91" s="497" t="s">
        <v>710</v>
      </c>
      <c r="B91" s="497" t="s">
        <v>1013</v>
      </c>
      <c r="C91" s="523"/>
      <c r="D91" s="503">
        <v>1200</v>
      </c>
      <c r="E91" s="122"/>
      <c r="F91" s="120"/>
      <c r="G91" s="120"/>
      <c r="H91" s="120"/>
      <c r="I91" s="54">
        <f>E91+G91</f>
        <v>0</v>
      </c>
      <c r="J91" s="54">
        <f>F91+H91</f>
        <v>0</v>
      </c>
      <c r="K91" s="13"/>
      <c r="L91" s="13"/>
      <c r="M91" s="13"/>
      <c r="N91" s="13"/>
    </row>
    <row r="92" spans="1:14">
      <c r="A92" s="497" t="s">
        <v>711</v>
      </c>
      <c r="B92" s="501" t="s">
        <v>1006</v>
      </c>
      <c r="C92" s="511"/>
      <c r="D92" s="503">
        <v>50</v>
      </c>
      <c r="E92" s="122"/>
      <c r="F92" s="120"/>
      <c r="G92" s="120"/>
      <c r="H92" s="120"/>
      <c r="I92" s="54">
        <f>E92+G92</f>
        <v>0</v>
      </c>
      <c r="J92" s="54">
        <f>F92+H92</f>
        <v>0</v>
      </c>
      <c r="K92" s="13"/>
      <c r="L92" s="13"/>
      <c r="M92" s="13"/>
      <c r="N92" s="13"/>
    </row>
    <row r="93" spans="1:14">
      <c r="A93" s="497"/>
      <c r="B93" s="501"/>
      <c r="C93" s="511"/>
      <c r="D93" s="503"/>
      <c r="E93" s="496"/>
      <c r="F93" s="54"/>
      <c r="G93" s="54"/>
      <c r="H93" s="54"/>
      <c r="I93" s="54"/>
      <c r="J93" s="54"/>
      <c r="K93" s="13"/>
      <c r="L93" s="13"/>
      <c r="M93" s="13"/>
      <c r="N93" s="13"/>
    </row>
    <row r="94" spans="1:14">
      <c r="A94" s="497" t="s">
        <v>1014</v>
      </c>
      <c r="B94" s="501"/>
      <c r="C94" s="511"/>
      <c r="D94" s="503"/>
      <c r="E94" s="496"/>
      <c r="F94" s="54"/>
      <c r="G94" s="54"/>
      <c r="H94" s="54"/>
      <c r="I94" s="54"/>
      <c r="J94" s="54"/>
      <c r="K94" s="13"/>
      <c r="L94" s="13"/>
      <c r="M94" s="13"/>
      <c r="N94" s="13"/>
    </row>
    <row r="95" spans="1:14">
      <c r="A95" s="497" t="s">
        <v>1015</v>
      </c>
      <c r="B95" s="497" t="s">
        <v>1016</v>
      </c>
      <c r="C95" s="523"/>
      <c r="D95" s="503">
        <v>2500</v>
      </c>
      <c r="E95" s="122"/>
      <c r="F95" s="120"/>
      <c r="G95" s="120"/>
      <c r="H95" s="120"/>
      <c r="I95" s="54">
        <f>E95+G95</f>
        <v>0</v>
      </c>
      <c r="J95" s="54">
        <f>F95+H95</f>
        <v>0</v>
      </c>
      <c r="K95" s="13"/>
      <c r="L95" s="13"/>
      <c r="M95" s="13"/>
      <c r="N95" s="13"/>
    </row>
    <row r="96" spans="1:14">
      <c r="A96" s="497" t="s">
        <v>1017</v>
      </c>
      <c r="B96" s="497"/>
      <c r="C96" s="523"/>
      <c r="D96" s="503"/>
      <c r="E96" s="122"/>
      <c r="F96" s="120"/>
      <c r="G96" s="120"/>
      <c r="H96" s="120"/>
      <c r="I96" s="54"/>
      <c r="J96" s="54"/>
      <c r="K96" s="13"/>
      <c r="L96" s="13"/>
      <c r="M96" s="13"/>
      <c r="N96" s="13"/>
    </row>
    <row r="97" spans="1:15">
      <c r="A97" s="497" t="s">
        <v>1018</v>
      </c>
      <c r="B97" s="497" t="s">
        <v>314</v>
      </c>
      <c r="C97" s="523"/>
      <c r="D97" s="503">
        <v>100</v>
      </c>
      <c r="E97" s="122"/>
      <c r="F97" s="120"/>
      <c r="G97" s="120"/>
      <c r="H97" s="120"/>
      <c r="I97" s="54"/>
      <c r="J97" s="54"/>
      <c r="K97" s="13"/>
      <c r="L97" s="13"/>
      <c r="M97" s="13"/>
      <c r="N97" s="13"/>
    </row>
    <row r="98" spans="1:15">
      <c r="A98" s="497" t="s">
        <v>1019</v>
      </c>
      <c r="B98" s="497" t="s">
        <v>1020</v>
      </c>
      <c r="C98" s="523"/>
      <c r="D98" s="503">
        <v>250</v>
      </c>
      <c r="E98" s="122"/>
      <c r="F98" s="120"/>
      <c r="G98" s="120"/>
      <c r="H98" s="120"/>
      <c r="I98" s="54"/>
      <c r="J98" s="54"/>
      <c r="K98" s="13"/>
      <c r="L98" s="13"/>
      <c r="M98" s="13"/>
      <c r="N98" s="13"/>
    </row>
    <row r="99" spans="1:15">
      <c r="A99" s="497" t="s">
        <v>1021</v>
      </c>
      <c r="B99" s="497" t="s">
        <v>1022</v>
      </c>
      <c r="C99" s="523"/>
      <c r="D99" s="503">
        <v>200</v>
      </c>
      <c r="E99" s="122"/>
      <c r="F99" s="120"/>
      <c r="G99" s="120"/>
      <c r="H99" s="120"/>
      <c r="I99" s="54"/>
      <c r="J99" s="54"/>
      <c r="K99" s="13"/>
      <c r="L99" s="13"/>
      <c r="M99" s="13"/>
      <c r="N99" s="13"/>
    </row>
    <row r="100" spans="1:15">
      <c r="A100" s="497" t="s">
        <v>1023</v>
      </c>
      <c r="B100" s="497" t="s">
        <v>1024</v>
      </c>
      <c r="C100" s="523"/>
      <c r="D100" s="503">
        <v>150</v>
      </c>
      <c r="E100" s="122"/>
      <c r="F100" s="120"/>
      <c r="G100" s="120"/>
      <c r="H100" s="120"/>
      <c r="I100" s="54"/>
      <c r="J100" s="54"/>
      <c r="K100" s="13"/>
      <c r="L100" s="13"/>
      <c r="M100" s="13"/>
      <c r="N100" s="13"/>
    </row>
    <row r="101" spans="1:15">
      <c r="A101" s="497" t="s">
        <v>1025</v>
      </c>
      <c r="B101" s="497" t="s">
        <v>973</v>
      </c>
      <c r="C101" s="523"/>
      <c r="D101" s="503">
        <v>120</v>
      </c>
      <c r="E101" s="122"/>
      <c r="F101" s="120"/>
      <c r="G101" s="120"/>
      <c r="H101" s="120"/>
      <c r="I101" s="54"/>
      <c r="J101" s="54"/>
      <c r="K101" s="13"/>
      <c r="L101" s="13"/>
      <c r="M101" s="13"/>
      <c r="N101" s="13"/>
    </row>
    <row r="102" spans="1:15">
      <c r="A102" s="497" t="s">
        <v>1026</v>
      </c>
      <c r="B102" s="497" t="s">
        <v>1027</v>
      </c>
      <c r="C102" s="523"/>
      <c r="D102" s="503">
        <v>1200</v>
      </c>
      <c r="E102" s="122"/>
      <c r="F102" s="120"/>
      <c r="G102" s="120"/>
      <c r="H102" s="120"/>
      <c r="I102" s="54">
        <f>E102+G102</f>
        <v>0</v>
      </c>
      <c r="J102" s="54">
        <f>F102+H102</f>
        <v>0</v>
      </c>
      <c r="K102" s="13"/>
      <c r="L102" s="13"/>
      <c r="M102" s="13"/>
      <c r="N102" s="13"/>
    </row>
    <row r="103" spans="1:15">
      <c r="A103" s="497" t="s">
        <v>1028</v>
      </c>
      <c r="B103" s="497" t="s">
        <v>1029</v>
      </c>
      <c r="C103" s="523"/>
      <c r="D103" s="503">
        <v>275</v>
      </c>
      <c r="E103" s="122"/>
      <c r="F103" s="120"/>
      <c r="G103" s="120"/>
      <c r="H103" s="120"/>
      <c r="I103" s="54">
        <f>E103+G103</f>
        <v>0</v>
      </c>
      <c r="J103" s="54">
        <f>F103+H103</f>
        <v>0</v>
      </c>
      <c r="K103" s="13"/>
      <c r="L103" s="13"/>
      <c r="M103" s="13"/>
      <c r="N103" s="13"/>
    </row>
    <row r="104" spans="1:15">
      <c r="A104" s="114"/>
      <c r="B104" s="47"/>
      <c r="C104" s="524"/>
      <c r="D104" s="500"/>
      <c r="E104" s="496"/>
      <c r="F104" s="54"/>
      <c r="G104" s="54"/>
      <c r="H104" s="54"/>
      <c r="I104" s="54"/>
      <c r="J104" s="54"/>
      <c r="K104" s="13"/>
      <c r="L104" s="13"/>
      <c r="M104" s="13"/>
      <c r="N104" s="13"/>
    </row>
    <row r="105" spans="1:15">
      <c r="A105" s="497" t="s">
        <v>969</v>
      </c>
      <c r="B105" s="501"/>
      <c r="C105" s="511"/>
      <c r="D105" s="503"/>
      <c r="E105" s="496"/>
      <c r="F105" s="54"/>
      <c r="G105" s="54"/>
      <c r="H105" s="54"/>
      <c r="I105" s="54"/>
      <c r="J105" s="54"/>
      <c r="K105" s="13"/>
      <c r="L105" s="13"/>
      <c r="M105" s="13"/>
      <c r="N105" s="13"/>
    </row>
    <row r="106" spans="1:15">
      <c r="A106" s="497" t="s">
        <v>1030</v>
      </c>
      <c r="B106" s="504" t="s">
        <v>971</v>
      </c>
      <c r="C106" s="511"/>
      <c r="D106" s="503">
        <v>850</v>
      </c>
      <c r="E106" s="122"/>
      <c r="F106" s="120"/>
      <c r="G106" s="120"/>
      <c r="H106" s="120"/>
      <c r="I106" s="54">
        <f t="shared" ref="I106:J108" si="4">E106+G106</f>
        <v>0</v>
      </c>
      <c r="J106" s="54">
        <f t="shared" si="4"/>
        <v>0</v>
      </c>
      <c r="K106" s="13"/>
      <c r="L106" s="13"/>
      <c r="M106" s="13"/>
      <c r="N106" s="13"/>
    </row>
    <row r="107" spans="1:15">
      <c r="A107" s="497" t="s">
        <v>1031</v>
      </c>
      <c r="B107" s="501" t="s">
        <v>1032</v>
      </c>
      <c r="C107" s="511"/>
      <c r="D107" s="503">
        <v>150</v>
      </c>
      <c r="E107" s="122"/>
      <c r="F107" s="120"/>
      <c r="G107" s="120"/>
      <c r="H107" s="120"/>
      <c r="I107" s="54">
        <f t="shared" si="4"/>
        <v>0</v>
      </c>
      <c r="J107" s="54">
        <f t="shared" si="4"/>
        <v>0</v>
      </c>
      <c r="K107" s="13"/>
      <c r="L107" s="13"/>
      <c r="M107" s="13"/>
      <c r="N107" s="13"/>
    </row>
    <row r="108" spans="1:15">
      <c r="A108" s="497" t="s">
        <v>1033</v>
      </c>
      <c r="B108" s="501" t="s">
        <v>323</v>
      </c>
      <c r="C108" s="511"/>
      <c r="D108" s="503">
        <v>100</v>
      </c>
      <c r="E108" s="122"/>
      <c r="F108" s="120"/>
      <c r="G108" s="120"/>
      <c r="H108" s="120"/>
      <c r="I108" s="54">
        <f t="shared" si="4"/>
        <v>0</v>
      </c>
      <c r="J108" s="54">
        <f t="shared" si="4"/>
        <v>0</v>
      </c>
      <c r="K108" s="13"/>
      <c r="L108" s="13"/>
      <c r="M108" s="13"/>
      <c r="N108" s="13"/>
    </row>
    <row r="109" spans="1:15">
      <c r="A109" s="525"/>
      <c r="B109" s="526"/>
      <c r="C109" s="527"/>
      <c r="D109" s="528"/>
      <c r="E109" s="508"/>
      <c r="F109" s="58"/>
      <c r="G109" s="58"/>
      <c r="H109" s="58"/>
      <c r="I109" s="58"/>
      <c r="J109" s="58"/>
      <c r="K109" s="13"/>
      <c r="L109" s="13"/>
      <c r="M109" s="13"/>
      <c r="N109" s="13"/>
    </row>
    <row r="110" spans="1:15">
      <c r="A110" s="886" t="s">
        <v>1034</v>
      </c>
      <c r="B110" s="887"/>
      <c r="C110" s="887"/>
      <c r="D110" s="887"/>
      <c r="E110" s="887"/>
      <c r="F110" s="887"/>
      <c r="G110" s="887"/>
      <c r="H110" s="887"/>
      <c r="I110" s="887"/>
      <c r="J110" s="887"/>
      <c r="K110" s="888"/>
      <c r="L110" s="888"/>
      <c r="M110" s="888"/>
      <c r="N110" s="888"/>
      <c r="O110" s="13"/>
    </row>
    <row r="111" spans="1:15">
      <c r="A111" s="509" t="s">
        <v>444</v>
      </c>
      <c r="B111" s="529"/>
      <c r="C111" s="523"/>
      <c r="D111" s="523"/>
      <c r="E111" s="496"/>
      <c r="F111" s="54"/>
      <c r="G111" s="54"/>
      <c r="H111" s="54"/>
      <c r="I111" s="54"/>
      <c r="J111" s="54"/>
      <c r="K111" s="13"/>
      <c r="L111" s="13"/>
      <c r="M111" s="13"/>
      <c r="N111" s="13"/>
    </row>
    <row r="112" spans="1:15">
      <c r="A112" s="497" t="s">
        <v>712</v>
      </c>
      <c r="B112" s="504" t="s">
        <v>1035</v>
      </c>
      <c r="C112" s="511"/>
      <c r="D112" s="503">
        <v>3000</v>
      </c>
      <c r="E112" s="122"/>
      <c r="F112" s="120"/>
      <c r="G112" s="120"/>
      <c r="H112" s="120"/>
      <c r="I112" s="54">
        <f>E112+G112</f>
        <v>0</v>
      </c>
      <c r="J112" s="54">
        <f>F112+H112</f>
        <v>0</v>
      </c>
      <c r="K112" s="13"/>
      <c r="L112" s="13"/>
      <c r="M112" s="13"/>
      <c r="N112" s="13"/>
    </row>
    <row r="113" spans="1:15">
      <c r="A113" s="497"/>
      <c r="B113" s="504"/>
      <c r="C113" s="511"/>
      <c r="D113" s="503"/>
      <c r="E113" s="496"/>
      <c r="F113" s="54"/>
      <c r="G113" s="54"/>
      <c r="H113" s="54"/>
      <c r="I113" s="54"/>
      <c r="J113" s="54"/>
      <c r="K113" s="13"/>
      <c r="L113" s="13"/>
      <c r="M113" s="13"/>
      <c r="N113" s="13"/>
    </row>
    <row r="114" spans="1:15">
      <c r="A114" s="497" t="s">
        <v>445</v>
      </c>
      <c r="B114" s="501"/>
      <c r="C114" s="511"/>
      <c r="D114" s="503"/>
      <c r="E114" s="496"/>
      <c r="F114" s="54"/>
      <c r="G114" s="54"/>
      <c r="H114" s="54"/>
      <c r="I114" s="54"/>
      <c r="J114" s="54"/>
      <c r="K114" s="13"/>
      <c r="L114" s="13"/>
      <c r="M114" s="13"/>
      <c r="N114" s="13"/>
    </row>
    <row r="115" spans="1:15">
      <c r="A115" s="497" t="s">
        <v>713</v>
      </c>
      <c r="B115" s="497" t="s">
        <v>1036</v>
      </c>
      <c r="C115" s="523"/>
      <c r="D115" s="503">
        <v>3000</v>
      </c>
      <c r="E115" s="122"/>
      <c r="F115" s="120"/>
      <c r="G115" s="120"/>
      <c r="H115" s="120"/>
      <c r="I115" s="54">
        <f>E115+G115</f>
        <v>0</v>
      </c>
      <c r="J115" s="54">
        <f>F115+H115</f>
        <v>0</v>
      </c>
      <c r="K115" s="13"/>
      <c r="L115" s="13"/>
      <c r="M115" s="13"/>
      <c r="N115" s="13"/>
    </row>
    <row r="116" spans="1:15">
      <c r="A116" s="497"/>
      <c r="B116" s="504"/>
      <c r="C116" s="511"/>
      <c r="D116" s="503"/>
      <c r="E116" s="496"/>
      <c r="F116" s="54"/>
      <c r="G116" s="54"/>
      <c r="H116" s="54"/>
      <c r="I116" s="54"/>
      <c r="J116" s="54"/>
      <c r="K116" s="13"/>
      <c r="L116" s="13"/>
      <c r="M116" s="13"/>
      <c r="N116" s="13"/>
    </row>
    <row r="117" spans="1:15">
      <c r="A117" s="497" t="s">
        <v>969</v>
      </c>
      <c r="B117" s="504"/>
      <c r="C117" s="511"/>
      <c r="D117" s="503"/>
      <c r="E117" s="496"/>
      <c r="F117" s="54"/>
      <c r="G117" s="54"/>
      <c r="H117" s="54"/>
      <c r="I117" s="54"/>
      <c r="J117" s="54"/>
      <c r="K117" s="13"/>
      <c r="L117" s="13"/>
      <c r="M117" s="13"/>
      <c r="N117" s="13"/>
    </row>
    <row r="118" spans="1:15">
      <c r="A118" s="497" t="s">
        <v>714</v>
      </c>
      <c r="B118" s="497" t="s">
        <v>971</v>
      </c>
      <c r="C118" s="523"/>
      <c r="D118" s="503">
        <v>850</v>
      </c>
      <c r="E118" s="122"/>
      <c r="F118" s="120"/>
      <c r="G118" s="120"/>
      <c r="H118" s="120"/>
      <c r="I118" s="54">
        <f t="shared" ref="I118:J120" si="5">E118+G118</f>
        <v>0</v>
      </c>
      <c r="J118" s="54">
        <f t="shared" si="5"/>
        <v>0</v>
      </c>
      <c r="K118" s="13"/>
      <c r="L118" s="13"/>
      <c r="M118" s="13"/>
      <c r="N118" s="13"/>
    </row>
    <row r="119" spans="1:15">
      <c r="A119" s="497" t="s">
        <v>715</v>
      </c>
      <c r="B119" s="504" t="s">
        <v>973</v>
      </c>
      <c r="C119" s="511"/>
      <c r="D119" s="503">
        <v>120</v>
      </c>
      <c r="E119" s="122"/>
      <c r="F119" s="120"/>
      <c r="G119" s="120"/>
      <c r="H119" s="120"/>
      <c r="I119" s="54">
        <f t="shared" si="5"/>
        <v>0</v>
      </c>
      <c r="J119" s="54">
        <f t="shared" si="5"/>
        <v>0</v>
      </c>
      <c r="K119" s="13"/>
      <c r="L119" s="13"/>
      <c r="M119" s="13"/>
      <c r="N119" s="13"/>
    </row>
    <row r="120" spans="1:15">
      <c r="A120" s="497" t="s">
        <v>716</v>
      </c>
      <c r="B120" s="501" t="s">
        <v>323</v>
      </c>
      <c r="C120" s="511"/>
      <c r="D120" s="503">
        <v>200</v>
      </c>
      <c r="E120" s="122"/>
      <c r="F120" s="120"/>
      <c r="G120" s="120"/>
      <c r="H120" s="120"/>
      <c r="I120" s="54">
        <f t="shared" si="5"/>
        <v>0</v>
      </c>
      <c r="J120" s="54">
        <f t="shared" si="5"/>
        <v>0</v>
      </c>
      <c r="K120" s="13"/>
      <c r="L120" s="13"/>
      <c r="M120" s="13"/>
      <c r="N120" s="13"/>
    </row>
    <row r="121" spans="1:15">
      <c r="A121" s="505"/>
      <c r="B121" s="506"/>
      <c r="C121" s="530"/>
      <c r="D121" s="507"/>
      <c r="E121" s="508"/>
      <c r="F121" s="58"/>
      <c r="G121" s="58"/>
      <c r="H121" s="58"/>
      <c r="I121" s="58"/>
      <c r="J121" s="58"/>
      <c r="K121" s="13"/>
      <c r="L121" s="13"/>
      <c r="M121" s="13"/>
      <c r="N121" s="13"/>
    </row>
    <row r="122" spans="1:15">
      <c r="A122" s="505"/>
      <c r="B122" s="506"/>
      <c r="C122" s="530"/>
      <c r="D122" s="507"/>
      <c r="E122" s="508"/>
      <c r="F122" s="58"/>
      <c r="G122" s="58"/>
      <c r="H122" s="58"/>
      <c r="I122" s="58"/>
      <c r="J122" s="58"/>
      <c r="K122" s="13"/>
      <c r="L122" s="13"/>
      <c r="M122" s="13"/>
      <c r="N122" s="13"/>
    </row>
    <row r="123" spans="1:15">
      <c r="A123" s="886" t="s">
        <v>1037</v>
      </c>
      <c r="B123" s="887"/>
      <c r="C123" s="887"/>
      <c r="D123" s="887"/>
      <c r="E123" s="887"/>
      <c r="F123" s="887"/>
      <c r="G123" s="887"/>
      <c r="H123" s="887"/>
      <c r="I123" s="887"/>
      <c r="J123" s="887"/>
      <c r="K123" s="888"/>
      <c r="L123" s="888"/>
      <c r="M123" s="888"/>
      <c r="N123" s="888"/>
      <c r="O123" s="13"/>
    </row>
    <row r="124" spans="1:15">
      <c r="A124" s="509" t="s">
        <v>1038</v>
      </c>
      <c r="B124" s="529"/>
      <c r="C124" s="523"/>
      <c r="D124" s="523"/>
      <c r="E124" s="496"/>
      <c r="F124" s="54"/>
      <c r="G124" s="54"/>
      <c r="H124" s="54"/>
      <c r="I124" s="54"/>
      <c r="J124" s="54"/>
      <c r="K124" s="13"/>
      <c r="L124" s="13"/>
      <c r="M124" s="13"/>
      <c r="N124" s="13"/>
    </row>
    <row r="125" spans="1:15">
      <c r="A125" s="497" t="s">
        <v>717</v>
      </c>
      <c r="B125" s="509" t="s">
        <v>1039</v>
      </c>
      <c r="C125" s="523"/>
      <c r="D125" s="503">
        <v>1500</v>
      </c>
      <c r="E125" s="122"/>
      <c r="F125" s="120"/>
      <c r="G125" s="120"/>
      <c r="H125" s="120"/>
      <c r="I125" s="54">
        <f>E125+G125</f>
        <v>0</v>
      </c>
      <c r="J125" s="54">
        <f>F125+H125</f>
        <v>0</v>
      </c>
      <c r="K125" s="13"/>
      <c r="L125" s="13"/>
      <c r="M125" s="13"/>
      <c r="N125" s="13"/>
    </row>
    <row r="126" spans="1:15">
      <c r="A126" s="497"/>
      <c r="B126" s="501"/>
      <c r="C126" s="511"/>
      <c r="D126" s="503"/>
      <c r="E126" s="496"/>
      <c r="F126" s="54"/>
      <c r="G126" s="54"/>
      <c r="H126" s="54"/>
      <c r="I126" s="54"/>
      <c r="J126" s="54"/>
      <c r="K126" s="13"/>
      <c r="L126" s="13"/>
      <c r="M126" s="13"/>
      <c r="N126" s="13"/>
    </row>
    <row r="127" spans="1:15">
      <c r="A127" s="497" t="s">
        <v>1040</v>
      </c>
      <c r="B127" s="501"/>
      <c r="C127" s="511"/>
      <c r="D127" s="503"/>
      <c r="E127" s="496"/>
      <c r="F127" s="54"/>
      <c r="G127" s="54"/>
      <c r="H127" s="54"/>
      <c r="I127" s="54"/>
      <c r="J127" s="54"/>
      <c r="K127" s="13"/>
      <c r="L127" s="13"/>
      <c r="M127" s="13"/>
      <c r="N127" s="13"/>
    </row>
    <row r="128" spans="1:15">
      <c r="A128" s="497" t="s">
        <v>718</v>
      </c>
      <c r="B128" s="497" t="s">
        <v>1041</v>
      </c>
      <c r="C128" s="523"/>
      <c r="D128" s="503">
        <v>1500</v>
      </c>
      <c r="E128" s="122"/>
      <c r="F128" s="120"/>
      <c r="G128" s="120"/>
      <c r="H128" s="120"/>
      <c r="I128" s="54">
        <f>E128+G128</f>
        <v>0</v>
      </c>
      <c r="J128" s="54">
        <f>F128+H128</f>
        <v>0</v>
      </c>
      <c r="K128" s="13"/>
      <c r="L128" s="13"/>
      <c r="M128" s="13"/>
      <c r="N128" s="13"/>
    </row>
    <row r="129" spans="1:14">
      <c r="A129" s="497"/>
      <c r="B129" s="501"/>
      <c r="C129" s="511"/>
      <c r="D129" s="503"/>
      <c r="E129" s="496"/>
      <c r="F129" s="54"/>
      <c r="G129" s="54"/>
      <c r="H129" s="54"/>
      <c r="I129" s="54"/>
      <c r="J129" s="54"/>
      <c r="K129" s="13"/>
      <c r="L129" s="13"/>
      <c r="M129" s="13"/>
      <c r="N129" s="13"/>
    </row>
    <row r="130" spans="1:14">
      <c r="A130" s="497" t="s">
        <v>446</v>
      </c>
      <c r="B130" s="501"/>
      <c r="C130" s="511"/>
      <c r="D130" s="503"/>
      <c r="E130" s="496"/>
      <c r="F130" s="54"/>
      <c r="G130" s="54"/>
      <c r="H130" s="54"/>
      <c r="I130" s="54"/>
      <c r="J130" s="54"/>
      <c r="K130" s="13"/>
      <c r="L130" s="13"/>
      <c r="M130" s="13"/>
      <c r="N130" s="13"/>
    </row>
    <row r="131" spans="1:14">
      <c r="A131" s="497" t="s">
        <v>719</v>
      </c>
      <c r="B131" s="501" t="s">
        <v>447</v>
      </c>
      <c r="C131" s="511"/>
      <c r="D131" s="503">
        <v>400</v>
      </c>
      <c r="E131" s="122"/>
      <c r="F131" s="120"/>
      <c r="G131" s="120"/>
      <c r="H131" s="120"/>
      <c r="I131" s="54">
        <f>E131+G131</f>
        <v>0</v>
      </c>
      <c r="J131" s="54">
        <f>F131+H131</f>
        <v>0</v>
      </c>
      <c r="K131" s="13"/>
      <c r="L131" s="13"/>
      <c r="M131" s="13"/>
      <c r="N131" s="13"/>
    </row>
    <row r="132" spans="1:14">
      <c r="A132" s="497" t="s">
        <v>720</v>
      </c>
      <c r="B132" s="504" t="s">
        <v>1042</v>
      </c>
      <c r="C132" s="511"/>
      <c r="D132" s="503">
        <v>750</v>
      </c>
      <c r="E132" s="122"/>
      <c r="F132" s="120"/>
      <c r="G132" s="120"/>
      <c r="H132" s="120"/>
      <c r="I132" s="54">
        <f>E132+G132</f>
        <v>0</v>
      </c>
      <c r="J132" s="54">
        <f>F132+H132</f>
        <v>0</v>
      </c>
      <c r="K132" s="13"/>
      <c r="L132" s="13"/>
      <c r="M132" s="13"/>
      <c r="N132" s="13"/>
    </row>
    <row r="133" spans="1:14">
      <c r="A133" s="497"/>
      <c r="B133" s="501"/>
      <c r="C133" s="511"/>
      <c r="D133" s="503"/>
      <c r="E133" s="496"/>
      <c r="F133" s="54"/>
      <c r="G133" s="54"/>
      <c r="H133" s="54"/>
      <c r="I133" s="54"/>
      <c r="J133" s="54"/>
      <c r="K133" s="13"/>
      <c r="L133" s="13"/>
      <c r="M133" s="13"/>
      <c r="N133" s="13"/>
    </row>
    <row r="134" spans="1:14">
      <c r="A134" s="497" t="s">
        <v>1043</v>
      </c>
      <c r="B134" s="501"/>
      <c r="C134" s="511"/>
      <c r="D134" s="503"/>
      <c r="E134" s="496"/>
      <c r="F134" s="54"/>
      <c r="G134" s="54"/>
      <c r="H134" s="54"/>
      <c r="I134" s="54"/>
      <c r="J134" s="54"/>
      <c r="K134" s="13"/>
      <c r="L134" s="13"/>
      <c r="M134" s="13"/>
      <c r="N134" s="13"/>
    </row>
    <row r="135" spans="1:14">
      <c r="A135" s="497" t="s">
        <v>1044</v>
      </c>
      <c r="B135" s="501" t="s">
        <v>1045</v>
      </c>
      <c r="C135" s="511"/>
      <c r="D135" s="503">
        <v>1800</v>
      </c>
      <c r="E135" s="122"/>
      <c r="F135" s="120"/>
      <c r="G135" s="120"/>
      <c r="H135" s="120"/>
      <c r="I135" s="54">
        <f>E135+G135</f>
        <v>0</v>
      </c>
      <c r="J135" s="54">
        <f>F135+H135</f>
        <v>0</v>
      </c>
      <c r="K135" s="13"/>
      <c r="L135" s="13"/>
      <c r="M135" s="13"/>
      <c r="N135" s="13"/>
    </row>
    <row r="136" spans="1:14">
      <c r="A136" s="497"/>
      <c r="B136" s="501"/>
      <c r="C136" s="511"/>
      <c r="D136" s="503"/>
      <c r="E136" s="496"/>
      <c r="F136" s="54"/>
      <c r="G136" s="54"/>
      <c r="H136" s="54"/>
      <c r="I136" s="54"/>
      <c r="J136" s="54"/>
      <c r="K136" s="13"/>
      <c r="L136" s="13"/>
      <c r="M136" s="13"/>
      <c r="N136" s="13"/>
    </row>
    <row r="137" spans="1:14">
      <c r="A137" s="497" t="s">
        <v>221</v>
      </c>
      <c r="B137" s="501"/>
      <c r="C137" s="511"/>
      <c r="D137" s="503"/>
      <c r="E137" s="496"/>
      <c r="F137" s="54"/>
      <c r="G137" s="54"/>
      <c r="H137" s="54"/>
      <c r="I137" s="54"/>
      <c r="J137" s="54"/>
      <c r="K137" s="13"/>
      <c r="L137" s="13"/>
      <c r="M137" s="13"/>
      <c r="N137" s="13"/>
    </row>
    <row r="138" spans="1:14">
      <c r="A138" s="497" t="s">
        <v>1046</v>
      </c>
      <c r="B138" s="504" t="s">
        <v>1047</v>
      </c>
      <c r="C138" s="511"/>
      <c r="D138" s="503">
        <v>1800</v>
      </c>
      <c r="E138" s="122"/>
      <c r="F138" s="120"/>
      <c r="G138" s="120"/>
      <c r="H138" s="120"/>
      <c r="I138" s="54">
        <f t="shared" ref="I138:J140" si="6">E138+G138</f>
        <v>0</v>
      </c>
      <c r="J138" s="54">
        <f t="shared" si="6"/>
        <v>0</v>
      </c>
      <c r="K138" s="13"/>
      <c r="L138" s="13"/>
      <c r="M138" s="13"/>
      <c r="N138" s="13"/>
    </row>
    <row r="139" spans="1:14">
      <c r="A139" s="497" t="s">
        <v>1048</v>
      </c>
      <c r="B139" s="504" t="s">
        <v>1049</v>
      </c>
      <c r="C139" s="511"/>
      <c r="D139" s="503">
        <v>750</v>
      </c>
      <c r="E139" s="122"/>
      <c r="F139" s="120"/>
      <c r="G139" s="120"/>
      <c r="H139" s="120"/>
      <c r="I139" s="54">
        <f t="shared" si="6"/>
        <v>0</v>
      </c>
      <c r="J139" s="54">
        <f t="shared" si="6"/>
        <v>0</v>
      </c>
      <c r="K139" s="13"/>
      <c r="L139" s="13"/>
      <c r="M139" s="13"/>
      <c r="N139" s="13"/>
    </row>
    <row r="140" spans="1:14">
      <c r="A140" s="497" t="s">
        <v>1050</v>
      </c>
      <c r="B140" s="504" t="s">
        <v>1051</v>
      </c>
      <c r="C140" s="511"/>
      <c r="D140" s="503">
        <v>250</v>
      </c>
      <c r="E140" s="122"/>
      <c r="F140" s="120"/>
      <c r="G140" s="120"/>
      <c r="H140" s="120"/>
      <c r="I140" s="54">
        <f t="shared" si="6"/>
        <v>0</v>
      </c>
      <c r="J140" s="54">
        <f t="shared" si="6"/>
        <v>0</v>
      </c>
      <c r="K140" s="13"/>
      <c r="L140" s="13"/>
      <c r="M140" s="13"/>
      <c r="N140" s="13"/>
    </row>
    <row r="141" spans="1:14">
      <c r="A141" s="497"/>
      <c r="B141" s="501"/>
      <c r="C141" s="511"/>
      <c r="D141" s="503"/>
      <c r="E141" s="496"/>
      <c r="F141" s="54"/>
      <c r="G141" s="54"/>
      <c r="H141" s="54"/>
      <c r="I141" s="54"/>
      <c r="J141" s="54"/>
      <c r="K141" s="13"/>
      <c r="L141" s="13"/>
      <c r="M141" s="13"/>
      <c r="N141" s="13"/>
    </row>
    <row r="142" spans="1:14">
      <c r="A142" s="497" t="s">
        <v>1052</v>
      </c>
      <c r="B142" s="501"/>
      <c r="C142" s="511"/>
      <c r="D142" s="503"/>
      <c r="E142" s="496"/>
      <c r="F142" s="54"/>
      <c r="G142" s="54"/>
      <c r="H142" s="54"/>
      <c r="I142" s="54"/>
      <c r="J142" s="54"/>
      <c r="K142" s="13"/>
      <c r="L142" s="13"/>
      <c r="M142" s="13"/>
      <c r="N142" s="13"/>
    </row>
    <row r="143" spans="1:14">
      <c r="A143" s="497" t="s">
        <v>1053</v>
      </c>
      <c r="B143" s="497" t="s">
        <v>1054</v>
      </c>
      <c r="C143" s="523"/>
      <c r="D143" s="503">
        <v>1200</v>
      </c>
      <c r="E143" s="122"/>
      <c r="F143" s="120"/>
      <c r="G143" s="120"/>
      <c r="H143" s="120"/>
      <c r="I143" s="54">
        <f>E143+G143</f>
        <v>0</v>
      </c>
      <c r="J143" s="54">
        <f>F143+H143</f>
        <v>0</v>
      </c>
      <c r="K143" s="13"/>
      <c r="L143" s="13"/>
      <c r="M143" s="13"/>
      <c r="N143" s="13"/>
    </row>
    <row r="144" spans="1:14">
      <c r="A144" s="497"/>
      <c r="B144" s="501"/>
      <c r="C144" s="511"/>
      <c r="D144" s="503"/>
      <c r="E144" s="496"/>
      <c r="F144" s="54"/>
      <c r="G144" s="54"/>
      <c r="H144" s="54"/>
      <c r="I144" s="54"/>
      <c r="J144" s="54"/>
      <c r="K144" s="13"/>
      <c r="L144" s="13"/>
      <c r="M144" s="13"/>
      <c r="N144" s="13"/>
    </row>
    <row r="145" spans="1:15">
      <c r="A145" s="497" t="s">
        <v>969</v>
      </c>
      <c r="B145" s="501"/>
      <c r="C145" s="511"/>
      <c r="D145" s="503"/>
      <c r="E145" s="496"/>
      <c r="F145" s="54"/>
      <c r="G145" s="54"/>
      <c r="H145" s="54"/>
      <c r="I145" s="54"/>
      <c r="J145" s="54"/>
      <c r="K145" s="13"/>
      <c r="L145" s="13"/>
      <c r="M145" s="13"/>
      <c r="N145" s="13"/>
    </row>
    <row r="146" spans="1:15">
      <c r="A146" s="497" t="s">
        <v>1055</v>
      </c>
      <c r="B146" s="504" t="s">
        <v>971</v>
      </c>
      <c r="C146" s="511"/>
      <c r="D146" s="503">
        <v>850</v>
      </c>
      <c r="E146" s="122"/>
      <c r="F146" s="120"/>
      <c r="G146" s="120"/>
      <c r="H146" s="120"/>
      <c r="I146" s="54">
        <f t="shared" ref="I146:J148" si="7">E146+G146</f>
        <v>0</v>
      </c>
      <c r="J146" s="54">
        <f t="shared" si="7"/>
        <v>0</v>
      </c>
      <c r="K146" s="13"/>
      <c r="L146" s="13"/>
      <c r="M146" s="13"/>
      <c r="N146" s="13"/>
    </row>
    <row r="147" spans="1:15">
      <c r="A147" s="497" t="s">
        <v>1056</v>
      </c>
      <c r="B147" s="501" t="s">
        <v>973</v>
      </c>
      <c r="C147" s="511"/>
      <c r="D147" s="503">
        <v>120</v>
      </c>
      <c r="E147" s="122"/>
      <c r="F147" s="120"/>
      <c r="G147" s="120"/>
      <c r="H147" s="120"/>
      <c r="I147" s="54">
        <f t="shared" si="7"/>
        <v>0</v>
      </c>
      <c r="J147" s="54">
        <f t="shared" si="7"/>
        <v>0</v>
      </c>
      <c r="K147" s="13"/>
      <c r="L147" s="13"/>
      <c r="M147" s="13"/>
      <c r="N147" s="13"/>
    </row>
    <row r="148" spans="1:15">
      <c r="A148" s="497" t="s">
        <v>1057</v>
      </c>
      <c r="B148" s="501" t="s">
        <v>323</v>
      </c>
      <c r="C148" s="511"/>
      <c r="D148" s="503">
        <v>200</v>
      </c>
      <c r="E148" s="122"/>
      <c r="F148" s="120"/>
      <c r="G148" s="120"/>
      <c r="H148" s="120"/>
      <c r="I148" s="54">
        <f t="shared" si="7"/>
        <v>0</v>
      </c>
      <c r="J148" s="54">
        <f t="shared" si="7"/>
        <v>0</v>
      </c>
      <c r="K148" s="13"/>
      <c r="L148" s="13"/>
      <c r="M148" s="13"/>
      <c r="N148" s="13"/>
    </row>
    <row r="149" spans="1:15">
      <c r="A149" s="505"/>
      <c r="B149" s="506"/>
      <c r="C149" s="530"/>
      <c r="D149" s="507"/>
      <c r="E149" s="508"/>
      <c r="F149" s="58"/>
      <c r="G149" s="58"/>
      <c r="H149" s="58"/>
      <c r="I149" s="58"/>
      <c r="J149" s="58"/>
      <c r="K149" s="13"/>
      <c r="L149" s="13"/>
      <c r="M149" s="13"/>
      <c r="N149" s="13"/>
    </row>
    <row r="150" spans="1:15">
      <c r="A150" s="886" t="s">
        <v>1058</v>
      </c>
      <c r="B150" s="887"/>
      <c r="C150" s="887"/>
      <c r="D150" s="887"/>
      <c r="E150" s="887"/>
      <c r="F150" s="887"/>
      <c r="G150" s="887"/>
      <c r="H150" s="887"/>
      <c r="I150" s="887"/>
      <c r="J150" s="887"/>
      <c r="K150" s="888"/>
      <c r="L150" s="888"/>
      <c r="M150" s="888"/>
      <c r="N150" s="888"/>
      <c r="O150" s="13"/>
    </row>
    <row r="151" spans="1:15">
      <c r="A151" s="509" t="s">
        <v>448</v>
      </c>
      <c r="B151" s="529"/>
      <c r="C151" s="523"/>
      <c r="D151" s="523"/>
      <c r="E151" s="496"/>
      <c r="F151" s="54"/>
      <c r="G151" s="54"/>
      <c r="H151" s="54"/>
      <c r="I151" s="54"/>
      <c r="J151" s="54"/>
      <c r="K151" s="13"/>
      <c r="L151" s="13"/>
      <c r="M151" s="13"/>
      <c r="N151" s="13"/>
    </row>
    <row r="152" spans="1:15">
      <c r="A152" s="497" t="s">
        <v>721</v>
      </c>
      <c r="B152" s="504" t="s">
        <v>449</v>
      </c>
      <c r="C152" s="511"/>
      <c r="D152" s="503">
        <v>3000</v>
      </c>
      <c r="E152" s="122"/>
      <c r="F152" s="120"/>
      <c r="G152" s="120"/>
      <c r="H152" s="120"/>
      <c r="I152" s="54">
        <f>E152+G152</f>
        <v>0</v>
      </c>
      <c r="J152" s="54">
        <f>F152+H152</f>
        <v>0</v>
      </c>
      <c r="K152" s="13"/>
      <c r="L152" s="13"/>
      <c r="M152" s="13"/>
      <c r="N152" s="13"/>
    </row>
    <row r="153" spans="1:15">
      <c r="A153" s="497"/>
      <c r="B153" s="504"/>
      <c r="C153" s="511"/>
      <c r="D153" s="503"/>
      <c r="E153" s="496"/>
      <c r="F153" s="54"/>
      <c r="G153" s="54"/>
      <c r="H153" s="54"/>
      <c r="I153" s="54"/>
      <c r="J153" s="54"/>
      <c r="K153" s="13"/>
      <c r="L153" s="13"/>
      <c r="M153" s="13"/>
      <c r="N153" s="13"/>
    </row>
    <row r="154" spans="1:15">
      <c r="A154" s="497" t="s">
        <v>969</v>
      </c>
      <c r="B154" s="504"/>
      <c r="C154" s="511"/>
      <c r="D154" s="503"/>
      <c r="E154" s="496"/>
      <c r="F154" s="54"/>
      <c r="G154" s="54"/>
      <c r="H154" s="54"/>
      <c r="I154" s="54"/>
      <c r="J154" s="54"/>
      <c r="K154" s="13"/>
      <c r="L154" s="13"/>
      <c r="M154" s="13"/>
      <c r="N154" s="13"/>
    </row>
    <row r="155" spans="1:15">
      <c r="A155" s="497" t="s">
        <v>1059</v>
      </c>
      <c r="B155" s="497" t="s">
        <v>971</v>
      </c>
      <c r="C155" s="523"/>
      <c r="D155" s="503">
        <v>850</v>
      </c>
      <c r="E155" s="122"/>
      <c r="F155" s="120"/>
      <c r="G155" s="120"/>
      <c r="H155" s="120"/>
      <c r="I155" s="54">
        <f t="shared" ref="I155:J157" si="8">E155+G155</f>
        <v>0</v>
      </c>
      <c r="J155" s="54">
        <f t="shared" si="8"/>
        <v>0</v>
      </c>
      <c r="K155" s="13"/>
      <c r="L155" s="13"/>
      <c r="M155" s="13"/>
      <c r="N155" s="13"/>
    </row>
    <row r="156" spans="1:15">
      <c r="A156" s="497" t="s">
        <v>1060</v>
      </c>
      <c r="B156" s="504" t="s">
        <v>973</v>
      </c>
      <c r="C156" s="511"/>
      <c r="D156" s="503">
        <v>120</v>
      </c>
      <c r="E156" s="122"/>
      <c r="F156" s="120"/>
      <c r="G156" s="120"/>
      <c r="H156" s="120"/>
      <c r="I156" s="54">
        <f t="shared" si="8"/>
        <v>0</v>
      </c>
      <c r="J156" s="54">
        <f t="shared" si="8"/>
        <v>0</v>
      </c>
      <c r="K156" s="13"/>
      <c r="L156" s="13"/>
      <c r="M156" s="13"/>
      <c r="N156" s="13"/>
    </row>
    <row r="157" spans="1:15">
      <c r="A157" s="512" t="s">
        <v>1061</v>
      </c>
      <c r="B157" s="513" t="s">
        <v>323</v>
      </c>
      <c r="C157" s="531"/>
      <c r="D157" s="514">
        <v>200</v>
      </c>
      <c r="E157" s="515"/>
      <c r="F157" s="516"/>
      <c r="G157" s="516"/>
      <c r="H157" s="516"/>
      <c r="I157" s="517">
        <f t="shared" si="8"/>
        <v>0</v>
      </c>
      <c r="J157" s="54">
        <f t="shared" si="8"/>
        <v>0</v>
      </c>
      <c r="K157" s="13"/>
      <c r="L157" s="13"/>
      <c r="M157" s="13"/>
      <c r="N157" s="13"/>
    </row>
    <row r="158" spans="1:15">
      <c r="A158" s="532"/>
      <c r="B158" s="533"/>
      <c r="C158" s="534"/>
      <c r="D158" s="535"/>
      <c r="E158" s="521"/>
      <c r="F158" s="522"/>
      <c r="G158" s="522"/>
      <c r="H158" s="522"/>
      <c r="I158" s="522"/>
      <c r="J158" s="58"/>
      <c r="K158" s="13"/>
      <c r="L158" s="13"/>
      <c r="M158" s="13"/>
      <c r="N158" s="13"/>
    </row>
    <row r="159" spans="1:15">
      <c r="A159" s="886" t="s">
        <v>1062</v>
      </c>
      <c r="B159" s="887"/>
      <c r="C159" s="887"/>
      <c r="D159" s="887"/>
      <c r="E159" s="887"/>
      <c r="F159" s="887"/>
      <c r="G159" s="887"/>
      <c r="H159" s="887"/>
      <c r="I159" s="887"/>
      <c r="J159" s="887"/>
      <c r="K159" s="888"/>
      <c r="L159" s="888"/>
      <c r="M159" s="888"/>
      <c r="N159" s="888"/>
    </row>
    <row r="160" spans="1:15">
      <c r="A160" s="536" t="s">
        <v>1063</v>
      </c>
      <c r="B160" s="537"/>
      <c r="C160" s="538"/>
      <c r="D160" s="538"/>
      <c r="E160" s="539"/>
      <c r="F160" s="540"/>
      <c r="G160" s="540"/>
      <c r="H160" s="540"/>
      <c r="I160" s="540"/>
      <c r="J160" s="54"/>
      <c r="K160" s="13"/>
      <c r="L160" s="13"/>
      <c r="M160" s="13"/>
      <c r="N160" s="13"/>
    </row>
    <row r="161" spans="1:15">
      <c r="A161" s="497" t="s">
        <v>1064</v>
      </c>
      <c r="B161" s="504" t="s">
        <v>1065</v>
      </c>
      <c r="C161" s="511"/>
      <c r="D161" s="503">
        <v>500</v>
      </c>
      <c r="E161" s="122"/>
      <c r="F161" s="120"/>
      <c r="G161" s="120"/>
      <c r="H161" s="120"/>
      <c r="I161" s="54">
        <f>E161+G161</f>
        <v>0</v>
      </c>
      <c r="J161" s="54">
        <f>F161+H161</f>
        <v>0</v>
      </c>
      <c r="K161" s="13"/>
      <c r="L161" s="13"/>
      <c r="M161" s="13"/>
      <c r="N161" s="13"/>
    </row>
    <row r="162" spans="1:15">
      <c r="A162" s="497"/>
      <c r="B162" s="504"/>
      <c r="C162" s="511"/>
      <c r="D162" s="503"/>
      <c r="E162" s="496"/>
      <c r="F162" s="54"/>
      <c r="G162" s="54"/>
      <c r="H162" s="54"/>
      <c r="I162" s="54"/>
      <c r="J162" s="54"/>
      <c r="K162" s="13"/>
      <c r="L162" s="13"/>
      <c r="M162" s="13"/>
      <c r="N162" s="13"/>
    </row>
    <row r="163" spans="1:15">
      <c r="A163" s="497" t="s">
        <v>969</v>
      </c>
      <c r="B163" s="504"/>
      <c r="C163" s="511"/>
      <c r="D163" s="503"/>
      <c r="E163" s="496"/>
      <c r="F163" s="54"/>
      <c r="G163" s="54"/>
      <c r="H163" s="54"/>
      <c r="I163" s="54"/>
      <c r="J163" s="54"/>
      <c r="K163" s="13"/>
      <c r="L163" s="13"/>
      <c r="M163" s="13"/>
      <c r="N163" s="13"/>
    </row>
    <row r="164" spans="1:15">
      <c r="A164" s="497" t="s">
        <v>1066</v>
      </c>
      <c r="B164" s="497" t="s">
        <v>971</v>
      </c>
      <c r="C164" s="523"/>
      <c r="D164" s="503">
        <v>850</v>
      </c>
      <c r="E164" s="122"/>
      <c r="F164" s="120"/>
      <c r="G164" s="120"/>
      <c r="H164" s="120"/>
      <c r="I164" s="54">
        <f t="shared" ref="I164:J166" si="9">E164+G164</f>
        <v>0</v>
      </c>
      <c r="J164" s="54">
        <f t="shared" si="9"/>
        <v>0</v>
      </c>
      <c r="K164" s="13"/>
      <c r="L164" s="13"/>
      <c r="M164" s="13"/>
      <c r="N164" s="13"/>
    </row>
    <row r="165" spans="1:15">
      <c r="A165" s="497" t="s">
        <v>1067</v>
      </c>
      <c r="B165" s="504" t="s">
        <v>973</v>
      </c>
      <c r="C165" s="511"/>
      <c r="D165" s="503">
        <v>120</v>
      </c>
      <c r="E165" s="122"/>
      <c r="F165" s="120"/>
      <c r="G165" s="120"/>
      <c r="H165" s="120"/>
      <c r="I165" s="54">
        <f t="shared" si="9"/>
        <v>0</v>
      </c>
      <c r="J165" s="54">
        <f t="shared" si="9"/>
        <v>0</v>
      </c>
      <c r="K165" s="13"/>
      <c r="L165" s="13"/>
      <c r="M165" s="13"/>
      <c r="N165" s="13"/>
    </row>
    <row r="166" spans="1:15">
      <c r="A166" s="497" t="s">
        <v>1068</v>
      </c>
      <c r="B166" s="501" t="s">
        <v>323</v>
      </c>
      <c r="C166" s="511"/>
      <c r="D166" s="503">
        <v>200</v>
      </c>
      <c r="E166" s="122"/>
      <c r="F166" s="120"/>
      <c r="G166" s="120"/>
      <c r="H166" s="120"/>
      <c r="I166" s="54">
        <f t="shared" si="9"/>
        <v>0</v>
      </c>
      <c r="J166" s="54">
        <f t="shared" si="9"/>
        <v>0</v>
      </c>
      <c r="K166" s="13"/>
      <c r="L166" s="13"/>
      <c r="M166" s="13"/>
      <c r="N166" s="13"/>
    </row>
    <row r="167" spans="1:15">
      <c r="A167" s="525"/>
      <c r="B167" s="526"/>
      <c r="C167" s="527"/>
      <c r="D167" s="528"/>
      <c r="E167" s="508"/>
      <c r="F167" s="58"/>
      <c r="G167" s="58"/>
      <c r="H167" s="58"/>
      <c r="I167" s="58"/>
      <c r="J167" s="58"/>
      <c r="K167" s="13"/>
      <c r="L167" s="13"/>
      <c r="M167" s="13"/>
      <c r="N167" s="13"/>
    </row>
    <row r="168" spans="1:15">
      <c r="A168" s="886" t="s">
        <v>1069</v>
      </c>
      <c r="B168" s="887"/>
      <c r="C168" s="887"/>
      <c r="D168" s="887"/>
      <c r="E168" s="887"/>
      <c r="F168" s="887"/>
      <c r="G168" s="887"/>
      <c r="H168" s="887"/>
      <c r="I168" s="887"/>
      <c r="J168" s="887"/>
      <c r="K168" s="888"/>
      <c r="L168" s="888"/>
      <c r="M168" s="888"/>
      <c r="N168" s="888"/>
      <c r="O168" s="13"/>
    </row>
    <row r="169" spans="1:15">
      <c r="A169" s="509" t="s">
        <v>450</v>
      </c>
      <c r="B169" s="529"/>
      <c r="C169" s="523"/>
      <c r="D169" s="523"/>
      <c r="E169" s="496"/>
      <c r="F169" s="54"/>
      <c r="G169" s="54"/>
      <c r="H169" s="54"/>
      <c r="I169" s="54"/>
      <c r="J169" s="54"/>
      <c r="K169" s="13"/>
      <c r="L169" s="13"/>
      <c r="M169" s="13"/>
      <c r="N169" s="13"/>
    </row>
    <row r="170" spans="1:15">
      <c r="A170" s="497" t="s">
        <v>722</v>
      </c>
      <c r="B170" s="509" t="s">
        <v>1070</v>
      </c>
      <c r="C170" s="523"/>
      <c r="D170" s="503">
        <v>1200</v>
      </c>
      <c r="E170" s="122"/>
      <c r="F170" s="120"/>
      <c r="G170" s="120"/>
      <c r="H170" s="120"/>
      <c r="I170" s="54">
        <f>E170+G170</f>
        <v>0</v>
      </c>
      <c r="J170" s="54">
        <f>F170+H170</f>
        <v>0</v>
      </c>
      <c r="K170" s="13"/>
      <c r="L170" s="13"/>
      <c r="M170" s="13"/>
      <c r="N170" s="13"/>
    </row>
    <row r="171" spans="1:15">
      <c r="A171" s="114"/>
      <c r="B171" s="107"/>
      <c r="C171" s="524"/>
      <c r="D171" s="500"/>
      <c r="E171" s="496"/>
      <c r="F171" s="54"/>
      <c r="G171" s="54"/>
      <c r="H171" s="54"/>
      <c r="I171" s="54"/>
      <c r="J171" s="54"/>
      <c r="K171" s="13"/>
      <c r="L171" s="13"/>
      <c r="M171" s="13"/>
      <c r="N171" s="13"/>
    </row>
    <row r="172" spans="1:15">
      <c r="A172" s="497" t="s">
        <v>969</v>
      </c>
      <c r="B172" s="504"/>
      <c r="C172" s="511"/>
      <c r="D172" s="503"/>
      <c r="E172" s="496"/>
      <c r="F172" s="54"/>
      <c r="G172" s="54"/>
      <c r="H172" s="54"/>
      <c r="I172" s="54"/>
      <c r="J172" s="54"/>
      <c r="K172" s="13"/>
      <c r="L172" s="13"/>
      <c r="M172" s="13"/>
      <c r="N172" s="13"/>
    </row>
    <row r="173" spans="1:15">
      <c r="A173" s="497" t="s">
        <v>1071</v>
      </c>
      <c r="B173" s="497" t="s">
        <v>971</v>
      </c>
      <c r="C173" s="523"/>
      <c r="D173" s="503">
        <v>850</v>
      </c>
      <c r="E173" s="122"/>
      <c r="F173" s="120"/>
      <c r="G173" s="120"/>
      <c r="H173" s="120"/>
      <c r="I173" s="54">
        <f t="shared" ref="I173:J175" si="10">E173+G173</f>
        <v>0</v>
      </c>
      <c r="J173" s="54">
        <f t="shared" si="10"/>
        <v>0</v>
      </c>
      <c r="K173" s="13"/>
      <c r="L173" s="13"/>
      <c r="M173" s="13"/>
      <c r="N173" s="13"/>
    </row>
    <row r="174" spans="1:15">
      <c r="A174" s="497" t="s">
        <v>1072</v>
      </c>
      <c r="B174" s="504" t="s">
        <v>973</v>
      </c>
      <c r="C174" s="511"/>
      <c r="D174" s="503">
        <v>120</v>
      </c>
      <c r="E174" s="122"/>
      <c r="F174" s="120"/>
      <c r="G174" s="120"/>
      <c r="H174" s="120"/>
      <c r="I174" s="54">
        <f t="shared" si="10"/>
        <v>0</v>
      </c>
      <c r="J174" s="54">
        <f t="shared" si="10"/>
        <v>0</v>
      </c>
      <c r="K174" s="13"/>
      <c r="L174" s="13"/>
      <c r="M174" s="13"/>
      <c r="N174" s="13"/>
    </row>
    <row r="175" spans="1:15">
      <c r="A175" s="497" t="s">
        <v>1073</v>
      </c>
      <c r="B175" s="501" t="s">
        <v>323</v>
      </c>
      <c r="C175" s="511"/>
      <c r="D175" s="503">
        <v>200</v>
      </c>
      <c r="E175" s="122"/>
      <c r="F175" s="120"/>
      <c r="G175" s="120"/>
      <c r="H175" s="120"/>
      <c r="I175" s="54">
        <f t="shared" si="10"/>
        <v>0</v>
      </c>
      <c r="J175" s="54">
        <f t="shared" si="10"/>
        <v>0</v>
      </c>
      <c r="K175" s="13"/>
      <c r="L175" s="13"/>
      <c r="M175" s="13"/>
      <c r="N175" s="13"/>
    </row>
    <row r="176" spans="1:15">
      <c r="A176" s="505"/>
      <c r="B176" s="506"/>
      <c r="C176" s="530"/>
      <c r="D176" s="507"/>
      <c r="E176" s="508"/>
      <c r="F176" s="58"/>
      <c r="G176" s="58"/>
      <c r="H176" s="58"/>
      <c r="I176" s="58"/>
      <c r="J176" s="58"/>
      <c r="K176" s="13"/>
      <c r="L176" s="13"/>
      <c r="M176" s="13"/>
      <c r="N176" s="13"/>
    </row>
    <row r="177" spans="1:15">
      <c r="A177" s="886" t="s">
        <v>1074</v>
      </c>
      <c r="B177" s="887"/>
      <c r="C177" s="887"/>
      <c r="D177" s="887"/>
      <c r="E177" s="887"/>
      <c r="F177" s="887"/>
      <c r="G177" s="887"/>
      <c r="H177" s="887"/>
      <c r="I177" s="887"/>
      <c r="J177" s="887"/>
      <c r="K177" s="888"/>
      <c r="L177" s="888"/>
      <c r="M177" s="888"/>
      <c r="N177" s="888"/>
      <c r="O177" s="13"/>
    </row>
    <row r="178" spans="1:15">
      <c r="A178" s="509" t="s">
        <v>451</v>
      </c>
      <c r="B178" s="529"/>
      <c r="C178" s="523"/>
      <c r="D178" s="523"/>
      <c r="E178" s="496"/>
      <c r="F178" s="54"/>
      <c r="G178" s="54"/>
      <c r="H178" s="54"/>
      <c r="I178" s="54"/>
      <c r="J178" s="54"/>
      <c r="K178" s="13"/>
      <c r="L178" s="13"/>
      <c r="M178" s="13"/>
      <c r="N178" s="13"/>
    </row>
    <row r="179" spans="1:15">
      <c r="A179" s="497" t="s">
        <v>723</v>
      </c>
      <c r="B179" s="501" t="s">
        <v>1075</v>
      </c>
      <c r="C179" s="511"/>
      <c r="D179" s="503">
        <v>2000</v>
      </c>
      <c r="E179" s="122"/>
      <c r="F179" s="120"/>
      <c r="G179" s="120"/>
      <c r="H179" s="120"/>
      <c r="I179" s="54">
        <f>E179+G179</f>
        <v>0</v>
      </c>
      <c r="J179" s="54">
        <f>F179+H179</f>
        <v>0</v>
      </c>
      <c r="K179" s="13"/>
      <c r="L179" s="13"/>
      <c r="M179" s="13"/>
      <c r="N179" s="13"/>
    </row>
    <row r="180" spans="1:15">
      <c r="A180" s="497"/>
      <c r="B180" s="501"/>
      <c r="C180" s="511"/>
      <c r="D180" s="503"/>
      <c r="E180" s="496"/>
      <c r="F180" s="54"/>
      <c r="G180" s="54"/>
      <c r="H180" s="54"/>
      <c r="I180" s="54"/>
      <c r="J180" s="54"/>
      <c r="K180" s="13"/>
      <c r="L180" s="13"/>
      <c r="M180" s="13"/>
      <c r="N180" s="13"/>
    </row>
    <row r="181" spans="1:15">
      <c r="A181" s="497" t="s">
        <v>1076</v>
      </c>
      <c r="B181" s="501"/>
      <c r="C181" s="511"/>
      <c r="D181" s="503"/>
      <c r="E181" s="496"/>
      <c r="F181" s="54"/>
      <c r="G181" s="54"/>
      <c r="H181" s="54"/>
      <c r="I181" s="54"/>
      <c r="J181" s="54"/>
      <c r="K181" s="13"/>
      <c r="L181" s="13"/>
      <c r="M181" s="13"/>
      <c r="N181" s="13"/>
    </row>
    <row r="182" spans="1:15">
      <c r="A182" s="497" t="s">
        <v>1077</v>
      </c>
      <c r="B182" s="501" t="s">
        <v>1078</v>
      </c>
      <c r="C182" s="511"/>
      <c r="D182" s="503">
        <v>3000</v>
      </c>
      <c r="E182" s="122"/>
      <c r="F182" s="120"/>
      <c r="G182" s="120"/>
      <c r="H182" s="120"/>
      <c r="I182" s="54">
        <f>E182+G182</f>
        <v>0</v>
      </c>
      <c r="J182" s="54">
        <f>F182+H182</f>
        <v>0</v>
      </c>
      <c r="K182" s="13"/>
      <c r="L182" s="13"/>
      <c r="M182" s="13"/>
      <c r="N182" s="13"/>
    </row>
    <row r="183" spans="1:15">
      <c r="A183" s="497"/>
      <c r="B183" s="501"/>
      <c r="C183" s="511"/>
      <c r="D183" s="503"/>
      <c r="E183" s="496"/>
      <c r="F183" s="54"/>
      <c r="G183" s="54"/>
      <c r="H183" s="54"/>
      <c r="I183" s="54"/>
      <c r="J183" s="54"/>
      <c r="K183" s="13"/>
      <c r="L183" s="13"/>
      <c r="M183" s="13"/>
      <c r="N183" s="13"/>
    </row>
    <row r="184" spans="1:15">
      <c r="A184" s="497" t="s">
        <v>1079</v>
      </c>
      <c r="B184" s="501"/>
      <c r="C184" s="511"/>
      <c r="D184" s="503"/>
      <c r="E184" s="496"/>
      <c r="F184" s="54"/>
      <c r="G184" s="54"/>
      <c r="H184" s="54"/>
      <c r="I184" s="54"/>
      <c r="J184" s="54"/>
      <c r="K184" s="13"/>
      <c r="L184" s="13"/>
      <c r="M184" s="13"/>
      <c r="N184" s="13"/>
    </row>
    <row r="185" spans="1:15">
      <c r="A185" s="497" t="s">
        <v>724</v>
      </c>
      <c r="B185" s="497" t="s">
        <v>1080</v>
      </c>
      <c r="C185" s="523"/>
      <c r="D185" s="503">
        <v>3000</v>
      </c>
      <c r="E185" s="122"/>
      <c r="F185" s="120"/>
      <c r="G185" s="120"/>
      <c r="H185" s="120"/>
      <c r="I185" s="54">
        <f>E185+G185</f>
        <v>0</v>
      </c>
      <c r="J185" s="54">
        <f>F185+H185</f>
        <v>0</v>
      </c>
      <c r="K185" s="13"/>
      <c r="L185" s="13"/>
      <c r="M185" s="13"/>
      <c r="N185" s="13"/>
    </row>
    <row r="186" spans="1:15">
      <c r="A186" s="497"/>
      <c r="B186" s="501"/>
      <c r="C186" s="511"/>
      <c r="D186" s="503"/>
      <c r="E186" s="496"/>
      <c r="F186" s="54"/>
      <c r="G186" s="54"/>
      <c r="H186" s="54"/>
      <c r="I186" s="54"/>
      <c r="J186" s="54"/>
      <c r="K186" s="13"/>
      <c r="L186" s="13"/>
      <c r="M186" s="13"/>
      <c r="N186" s="13"/>
    </row>
    <row r="187" spans="1:15">
      <c r="A187" s="497" t="s">
        <v>1081</v>
      </c>
      <c r="B187" s="501"/>
      <c r="C187" s="511"/>
      <c r="D187" s="503"/>
      <c r="E187" s="496"/>
      <c r="F187" s="54"/>
      <c r="G187" s="54"/>
      <c r="H187" s="54"/>
      <c r="I187" s="54"/>
      <c r="J187" s="54"/>
      <c r="K187" s="13"/>
      <c r="L187" s="13"/>
      <c r="M187" s="13"/>
      <c r="N187" s="13"/>
    </row>
    <row r="188" spans="1:15">
      <c r="A188" s="497" t="s">
        <v>725</v>
      </c>
      <c r="B188" s="501" t="s">
        <v>1082</v>
      </c>
      <c r="C188" s="511"/>
      <c r="D188" s="503">
        <v>3000</v>
      </c>
      <c r="E188" s="122"/>
      <c r="F188" s="120"/>
      <c r="G188" s="120"/>
      <c r="H188" s="120"/>
      <c r="I188" s="54">
        <f>E188+G188</f>
        <v>0</v>
      </c>
      <c r="J188" s="54">
        <f>F188+H188</f>
        <v>0</v>
      </c>
      <c r="K188" s="13"/>
      <c r="L188" s="13"/>
      <c r="M188" s="13"/>
      <c r="N188" s="13"/>
    </row>
    <row r="189" spans="1:15">
      <c r="A189" s="497"/>
      <c r="B189" s="501"/>
      <c r="C189" s="511"/>
      <c r="D189" s="503"/>
      <c r="E189" s="496"/>
      <c r="F189" s="54"/>
      <c r="G189" s="54"/>
      <c r="H189" s="54"/>
      <c r="I189" s="54"/>
      <c r="J189" s="54"/>
      <c r="K189" s="13"/>
      <c r="L189" s="13"/>
      <c r="M189" s="13"/>
      <c r="N189" s="13"/>
    </row>
    <row r="190" spans="1:15">
      <c r="A190" s="497" t="s">
        <v>1083</v>
      </c>
      <c r="B190" s="501"/>
      <c r="C190" s="511"/>
      <c r="D190" s="503"/>
      <c r="E190" s="496"/>
      <c r="F190" s="54"/>
      <c r="G190" s="54"/>
      <c r="H190" s="54"/>
      <c r="I190" s="54"/>
      <c r="J190" s="54"/>
      <c r="K190" s="13"/>
      <c r="L190" s="13"/>
      <c r="M190" s="13"/>
      <c r="N190" s="13"/>
    </row>
    <row r="191" spans="1:15">
      <c r="A191" s="497" t="s">
        <v>726</v>
      </c>
      <c r="B191" s="497" t="s">
        <v>1084</v>
      </c>
      <c r="C191" s="523"/>
      <c r="D191" s="503">
        <v>3000</v>
      </c>
      <c r="E191" s="122"/>
      <c r="F191" s="120"/>
      <c r="G191" s="120"/>
      <c r="H191" s="120"/>
      <c r="I191" s="54">
        <f>E191+G191</f>
        <v>0</v>
      </c>
      <c r="J191" s="54">
        <f>F191+H191</f>
        <v>0</v>
      </c>
      <c r="K191" s="13"/>
      <c r="L191" s="13"/>
      <c r="M191" s="13"/>
      <c r="N191" s="13"/>
    </row>
    <row r="192" spans="1:15">
      <c r="A192" s="114"/>
      <c r="B192" s="47"/>
      <c r="C192" s="524"/>
      <c r="D192" s="500"/>
      <c r="E192" s="496"/>
      <c r="F192" s="54"/>
      <c r="G192" s="54"/>
      <c r="H192" s="54"/>
      <c r="I192" s="54"/>
      <c r="J192" s="54"/>
      <c r="K192" s="13"/>
      <c r="L192" s="13"/>
      <c r="M192" s="13"/>
      <c r="N192" s="13"/>
    </row>
    <row r="193" spans="1:15">
      <c r="A193" s="497" t="s">
        <v>452</v>
      </c>
      <c r="B193" s="501"/>
      <c r="C193" s="511"/>
      <c r="D193" s="503"/>
      <c r="E193" s="496"/>
      <c r="F193" s="54"/>
      <c r="G193" s="54"/>
      <c r="H193" s="54"/>
      <c r="I193" s="54"/>
      <c r="J193" s="54"/>
      <c r="K193" s="13"/>
      <c r="L193" s="13"/>
      <c r="M193" s="13"/>
      <c r="N193" s="13"/>
    </row>
    <row r="194" spans="1:15">
      <c r="A194" s="497" t="s">
        <v>727</v>
      </c>
      <c r="B194" s="501" t="s">
        <v>1085</v>
      </c>
      <c r="C194" s="511"/>
      <c r="D194" s="503">
        <v>3000</v>
      </c>
      <c r="E194" s="122"/>
      <c r="F194" s="120"/>
      <c r="G194" s="120"/>
      <c r="H194" s="120"/>
      <c r="I194" s="54">
        <f>E194+G194</f>
        <v>0</v>
      </c>
      <c r="J194" s="54">
        <f>F194+H194</f>
        <v>0</v>
      </c>
      <c r="K194" s="13"/>
      <c r="L194" s="13"/>
      <c r="M194" s="13"/>
      <c r="N194" s="13"/>
    </row>
    <row r="195" spans="1:15">
      <c r="A195" s="497"/>
      <c r="B195" s="501"/>
      <c r="C195" s="511"/>
      <c r="D195" s="503"/>
      <c r="E195" s="496"/>
      <c r="F195" s="54"/>
      <c r="G195" s="54"/>
      <c r="H195" s="54"/>
      <c r="I195" s="54"/>
      <c r="J195" s="54"/>
      <c r="K195" s="13"/>
      <c r="L195" s="13"/>
      <c r="M195" s="13"/>
      <c r="N195" s="13"/>
    </row>
    <row r="196" spans="1:15">
      <c r="A196" s="497" t="s">
        <v>969</v>
      </c>
      <c r="B196" s="501"/>
      <c r="C196" s="511"/>
      <c r="D196" s="503"/>
      <c r="E196" s="496"/>
      <c r="F196" s="54"/>
      <c r="G196" s="54"/>
      <c r="H196" s="54"/>
      <c r="I196" s="54"/>
      <c r="J196" s="54"/>
      <c r="K196" s="13"/>
      <c r="L196" s="13"/>
      <c r="M196" s="13"/>
      <c r="N196" s="13"/>
    </row>
    <row r="197" spans="1:15">
      <c r="A197" s="497" t="s">
        <v>1086</v>
      </c>
      <c r="B197" s="504" t="s">
        <v>971</v>
      </c>
      <c r="C197" s="511"/>
      <c r="D197" s="503">
        <v>850</v>
      </c>
      <c r="E197" s="122"/>
      <c r="F197" s="120"/>
      <c r="G197" s="120"/>
      <c r="H197" s="120"/>
      <c r="I197" s="54">
        <f t="shared" ref="I197:J199" si="11">E197+G197</f>
        <v>0</v>
      </c>
      <c r="J197" s="54">
        <f t="shared" si="11"/>
        <v>0</v>
      </c>
      <c r="K197" s="13"/>
      <c r="L197" s="13"/>
      <c r="M197" s="13"/>
      <c r="N197" s="13"/>
    </row>
    <row r="198" spans="1:15">
      <c r="A198" s="497" t="s">
        <v>1087</v>
      </c>
      <c r="B198" s="504" t="s">
        <v>973</v>
      </c>
      <c r="C198" s="511"/>
      <c r="D198" s="503">
        <v>120</v>
      </c>
      <c r="E198" s="122"/>
      <c r="F198" s="120"/>
      <c r="G198" s="120"/>
      <c r="H198" s="120"/>
      <c r="I198" s="54">
        <f t="shared" si="11"/>
        <v>0</v>
      </c>
      <c r="J198" s="54">
        <f t="shared" si="11"/>
        <v>0</v>
      </c>
      <c r="K198" s="13"/>
      <c r="L198" s="13"/>
      <c r="M198" s="13"/>
      <c r="N198" s="13"/>
    </row>
    <row r="199" spans="1:15" ht="13.8" thickBot="1">
      <c r="A199" s="541" t="s">
        <v>1088</v>
      </c>
      <c r="B199" s="542" t="s">
        <v>323</v>
      </c>
      <c r="C199" s="543"/>
      <c r="D199" s="544">
        <v>200</v>
      </c>
      <c r="E199" s="122"/>
      <c r="F199" s="120"/>
      <c r="G199" s="120"/>
      <c r="H199" s="120"/>
      <c r="I199" s="54">
        <f t="shared" si="11"/>
        <v>0</v>
      </c>
      <c r="J199" s="54">
        <f t="shared" si="11"/>
        <v>0</v>
      </c>
      <c r="K199" s="13"/>
      <c r="L199" s="13"/>
      <c r="M199" s="13"/>
      <c r="N199" s="13"/>
    </row>
    <row r="200" spans="1:15">
      <c r="A200" s="545"/>
      <c r="B200" s="546"/>
      <c r="C200" s="547"/>
      <c r="D200" s="548"/>
      <c r="E200" s="508"/>
      <c r="F200" s="58"/>
      <c r="G200" s="58"/>
      <c r="H200" s="58"/>
      <c r="I200" s="58"/>
      <c r="J200" s="58"/>
      <c r="K200" s="13"/>
      <c r="L200" s="13"/>
      <c r="M200" s="13"/>
      <c r="N200" s="13"/>
    </row>
    <row r="201" spans="1:15">
      <c r="A201" s="892" t="s">
        <v>1089</v>
      </c>
      <c r="B201" s="893"/>
      <c r="C201" s="893"/>
      <c r="D201" s="893"/>
      <c r="E201" s="887"/>
      <c r="F201" s="887"/>
      <c r="G201" s="887"/>
      <c r="H201" s="887"/>
      <c r="I201" s="887"/>
      <c r="J201" s="887"/>
      <c r="K201" s="888"/>
      <c r="L201" s="888"/>
      <c r="M201" s="888"/>
      <c r="N201" s="888"/>
      <c r="O201" s="13"/>
    </row>
    <row r="202" spans="1:15">
      <c r="A202" s="509" t="s">
        <v>453</v>
      </c>
      <c r="B202" s="529"/>
      <c r="C202" s="523"/>
      <c r="D202" s="523"/>
      <c r="E202" s="523"/>
      <c r="F202" s="497"/>
      <c r="G202" s="497"/>
      <c r="H202" s="497"/>
      <c r="I202" s="497"/>
      <c r="J202" s="497"/>
      <c r="K202" s="549"/>
      <c r="L202" s="549"/>
      <c r="M202" s="549"/>
      <c r="N202" s="549"/>
    </row>
    <row r="203" spans="1:15">
      <c r="A203" s="497" t="s">
        <v>728</v>
      </c>
      <c r="B203" s="509" t="s">
        <v>1090</v>
      </c>
      <c r="C203" s="523"/>
      <c r="D203" s="503">
        <v>2000</v>
      </c>
      <c r="E203" s="122"/>
      <c r="F203" s="120"/>
      <c r="G203" s="120"/>
      <c r="H203" s="120"/>
      <c r="I203" s="54">
        <f>E203+G203</f>
        <v>0</v>
      </c>
      <c r="J203" s="54">
        <f>F203+H203</f>
        <v>0</v>
      </c>
      <c r="K203" s="13"/>
      <c r="L203" s="13"/>
      <c r="M203" s="13"/>
      <c r="N203" s="13"/>
    </row>
    <row r="204" spans="1:15">
      <c r="A204" s="497"/>
      <c r="B204" s="501"/>
      <c r="C204" s="511"/>
      <c r="D204" s="503"/>
      <c r="E204" s="496"/>
      <c r="F204" s="54"/>
      <c r="G204" s="54"/>
      <c r="H204" s="54"/>
      <c r="I204" s="54"/>
      <c r="J204" s="54"/>
      <c r="K204" s="13"/>
      <c r="L204" s="13"/>
      <c r="M204" s="13"/>
      <c r="N204" s="13"/>
    </row>
    <row r="205" spans="1:15">
      <c r="A205" s="497" t="s">
        <v>1091</v>
      </c>
      <c r="B205" s="501"/>
      <c r="C205" s="511"/>
      <c r="D205" s="503"/>
      <c r="E205" s="496"/>
      <c r="F205" s="54"/>
      <c r="G205" s="54"/>
      <c r="H205" s="54"/>
      <c r="I205" s="54"/>
      <c r="J205" s="54"/>
      <c r="K205" s="13"/>
      <c r="L205" s="13"/>
      <c r="M205" s="13"/>
      <c r="N205" s="13"/>
    </row>
    <row r="206" spans="1:15">
      <c r="A206" s="497" t="s">
        <v>729</v>
      </c>
      <c r="B206" s="497" t="s">
        <v>1092</v>
      </c>
      <c r="C206" s="523"/>
      <c r="D206" s="503">
        <v>1500</v>
      </c>
      <c r="E206" s="122"/>
      <c r="F206" s="120"/>
      <c r="G206" s="120"/>
      <c r="H206" s="120"/>
      <c r="I206" s="54">
        <f>E206+G206</f>
        <v>0</v>
      </c>
      <c r="J206" s="54">
        <f>F206+H206</f>
        <v>0</v>
      </c>
      <c r="K206" s="13"/>
      <c r="L206" s="13"/>
      <c r="M206" s="13"/>
      <c r="N206" s="13"/>
    </row>
    <row r="207" spans="1:15">
      <c r="A207" s="497"/>
      <c r="B207" s="501"/>
      <c r="C207" s="511"/>
      <c r="D207" s="503"/>
      <c r="E207" s="496"/>
      <c r="F207" s="54"/>
      <c r="G207" s="54"/>
      <c r="H207" s="54"/>
      <c r="I207" s="54"/>
      <c r="J207" s="54"/>
      <c r="K207" s="13"/>
      <c r="L207" s="13"/>
      <c r="M207" s="13"/>
      <c r="N207" s="13"/>
    </row>
    <row r="208" spans="1:15">
      <c r="A208" s="497" t="s">
        <v>1093</v>
      </c>
      <c r="B208" s="501"/>
      <c r="C208" s="511"/>
      <c r="D208" s="503"/>
      <c r="E208" s="496"/>
      <c r="F208" s="54"/>
      <c r="G208" s="54"/>
      <c r="H208" s="54"/>
      <c r="I208" s="54"/>
      <c r="J208" s="54"/>
      <c r="K208" s="13"/>
      <c r="L208" s="13"/>
      <c r="M208" s="13"/>
      <c r="N208" s="13"/>
    </row>
    <row r="209" spans="1:15">
      <c r="A209" s="497" t="s">
        <v>730</v>
      </c>
      <c r="B209" s="497" t="s">
        <v>1094</v>
      </c>
      <c r="C209" s="523"/>
      <c r="D209" s="503">
        <v>1500</v>
      </c>
      <c r="E209" s="122"/>
      <c r="F209" s="120"/>
      <c r="G209" s="120"/>
      <c r="H209" s="120"/>
      <c r="I209" s="54">
        <f>E209+G209</f>
        <v>0</v>
      </c>
      <c r="J209" s="54">
        <f>F209+H209</f>
        <v>0</v>
      </c>
      <c r="K209" s="13"/>
      <c r="L209" s="13"/>
      <c r="M209" s="13"/>
      <c r="N209" s="13"/>
    </row>
    <row r="210" spans="1:15">
      <c r="A210" s="497"/>
      <c r="B210" s="501"/>
      <c r="C210" s="511"/>
      <c r="D210" s="503"/>
      <c r="E210" s="496"/>
      <c r="F210" s="54"/>
      <c r="G210" s="54"/>
      <c r="H210" s="54"/>
      <c r="I210" s="54"/>
      <c r="J210" s="54"/>
      <c r="K210" s="13"/>
      <c r="L210" s="13"/>
      <c r="M210" s="13"/>
      <c r="N210" s="13"/>
    </row>
    <row r="211" spans="1:15">
      <c r="A211" s="497" t="s">
        <v>454</v>
      </c>
      <c r="B211" s="501"/>
      <c r="C211" s="511"/>
      <c r="D211" s="503"/>
      <c r="E211" s="496"/>
      <c r="F211" s="54"/>
      <c r="G211" s="54"/>
      <c r="H211" s="54"/>
      <c r="I211" s="54"/>
      <c r="J211" s="54"/>
      <c r="K211" s="13"/>
      <c r="L211" s="13"/>
      <c r="M211" s="13"/>
      <c r="N211" s="13"/>
    </row>
    <row r="212" spans="1:15">
      <c r="A212" s="497" t="s">
        <v>731</v>
      </c>
      <c r="B212" s="497" t="s">
        <v>455</v>
      </c>
      <c r="C212" s="523"/>
      <c r="D212" s="503">
        <v>1500</v>
      </c>
      <c r="E212" s="122"/>
      <c r="F212" s="120"/>
      <c r="G212" s="120"/>
      <c r="H212" s="120"/>
      <c r="I212" s="54">
        <f>E212+G212</f>
        <v>0</v>
      </c>
      <c r="J212" s="54">
        <f>F212+H212</f>
        <v>0</v>
      </c>
      <c r="K212" s="13"/>
      <c r="L212" s="13"/>
      <c r="M212" s="13"/>
      <c r="N212" s="13"/>
    </row>
    <row r="213" spans="1:15">
      <c r="A213" s="497"/>
      <c r="B213" s="501"/>
      <c r="C213" s="511"/>
      <c r="D213" s="503"/>
      <c r="E213" s="496"/>
      <c r="F213" s="54"/>
      <c r="G213" s="54"/>
      <c r="H213" s="54"/>
      <c r="I213" s="54"/>
      <c r="J213" s="54"/>
      <c r="K213" s="13"/>
      <c r="L213" s="13"/>
      <c r="M213" s="13"/>
      <c r="N213" s="13"/>
    </row>
    <row r="214" spans="1:15">
      <c r="A214" s="497" t="s">
        <v>969</v>
      </c>
      <c r="B214" s="501"/>
      <c r="C214" s="511"/>
      <c r="D214" s="503"/>
      <c r="E214" s="496"/>
      <c r="F214" s="54"/>
      <c r="G214" s="54"/>
      <c r="H214" s="54"/>
      <c r="I214" s="54"/>
      <c r="J214" s="54"/>
      <c r="K214" s="13"/>
      <c r="L214" s="13"/>
      <c r="M214" s="13"/>
      <c r="N214" s="13"/>
    </row>
    <row r="215" spans="1:15">
      <c r="A215" s="497" t="s">
        <v>1095</v>
      </c>
      <c r="B215" s="504" t="s">
        <v>971</v>
      </c>
      <c r="C215" s="511"/>
      <c r="D215" s="503">
        <v>850</v>
      </c>
      <c r="E215" s="122"/>
      <c r="F215" s="120"/>
      <c r="G215" s="120"/>
      <c r="H215" s="120"/>
      <c r="I215" s="54">
        <f t="shared" ref="I215:J217" si="12">E215+G215</f>
        <v>0</v>
      </c>
      <c r="J215" s="54">
        <f t="shared" si="12"/>
        <v>0</v>
      </c>
      <c r="K215" s="13"/>
      <c r="L215" s="13"/>
      <c r="M215" s="13"/>
      <c r="N215" s="13"/>
    </row>
    <row r="216" spans="1:15">
      <c r="A216" s="497" t="s">
        <v>1096</v>
      </c>
      <c r="B216" s="504" t="s">
        <v>1097</v>
      </c>
      <c r="C216" s="511"/>
      <c r="D216" s="503">
        <v>120</v>
      </c>
      <c r="E216" s="122"/>
      <c r="F216" s="120"/>
      <c r="G216" s="120"/>
      <c r="H216" s="120"/>
      <c r="I216" s="54">
        <f t="shared" si="12"/>
        <v>0</v>
      </c>
      <c r="J216" s="54">
        <f t="shared" si="12"/>
        <v>0</v>
      </c>
      <c r="K216" s="13"/>
      <c r="L216" s="13"/>
      <c r="M216" s="13"/>
      <c r="N216" s="13"/>
    </row>
    <row r="217" spans="1:15">
      <c r="A217" s="497" t="s">
        <v>1098</v>
      </c>
      <c r="B217" s="501" t="s">
        <v>323</v>
      </c>
      <c r="C217" s="511"/>
      <c r="D217" s="503">
        <v>200</v>
      </c>
      <c r="E217" s="122"/>
      <c r="F217" s="120"/>
      <c r="G217" s="120"/>
      <c r="H217" s="120"/>
      <c r="I217" s="54">
        <f t="shared" si="12"/>
        <v>0</v>
      </c>
      <c r="J217" s="54">
        <f t="shared" si="12"/>
        <v>0</v>
      </c>
      <c r="K217" s="13"/>
      <c r="L217" s="13"/>
      <c r="M217" s="13"/>
      <c r="N217" s="13"/>
    </row>
    <row r="218" spans="1:15">
      <c r="A218" s="505"/>
      <c r="B218" s="526"/>
      <c r="C218" s="530"/>
      <c r="D218" s="507"/>
      <c r="E218" s="508"/>
      <c r="F218" s="58"/>
      <c r="G218" s="58"/>
      <c r="H218" s="58"/>
      <c r="I218" s="58"/>
      <c r="J218" s="58"/>
      <c r="K218" s="13"/>
      <c r="L218" s="13"/>
      <c r="M218" s="13"/>
      <c r="N218" s="13"/>
    </row>
    <row r="219" spans="1:15">
      <c r="A219" s="886" t="s">
        <v>1099</v>
      </c>
      <c r="B219" s="887"/>
      <c r="C219" s="887"/>
      <c r="D219" s="887"/>
      <c r="E219" s="887"/>
      <c r="F219" s="887"/>
      <c r="G219" s="887"/>
      <c r="H219" s="887"/>
      <c r="I219" s="887"/>
      <c r="J219" s="887"/>
      <c r="K219" s="888"/>
      <c r="L219" s="888"/>
      <c r="M219" s="888"/>
      <c r="N219" s="888"/>
      <c r="O219" s="13"/>
    </row>
    <row r="220" spans="1:15">
      <c r="A220" s="509" t="s">
        <v>456</v>
      </c>
      <c r="B220" s="529"/>
      <c r="C220" s="523"/>
      <c r="D220" s="523"/>
      <c r="E220" s="496"/>
      <c r="F220" s="54"/>
      <c r="G220" s="54"/>
      <c r="H220" s="54"/>
      <c r="I220" s="54"/>
      <c r="J220" s="54"/>
      <c r="K220" s="13"/>
      <c r="L220" s="13"/>
      <c r="M220" s="13"/>
      <c r="N220" s="13"/>
    </row>
    <row r="221" spans="1:15">
      <c r="A221" s="497" t="s">
        <v>732</v>
      </c>
      <c r="B221" s="509" t="s">
        <v>1100</v>
      </c>
      <c r="C221" s="523"/>
      <c r="D221" s="503">
        <v>4000</v>
      </c>
      <c r="E221" s="122"/>
      <c r="F221" s="120"/>
      <c r="G221" s="120"/>
      <c r="H221" s="120"/>
      <c r="I221" s="54">
        <f>E221+G221</f>
        <v>0</v>
      </c>
      <c r="J221" s="54">
        <f>F221+H221</f>
        <v>0</v>
      </c>
      <c r="K221" s="550">
        <f>IF(E221&gt;0,D221,0)</f>
        <v>0</v>
      </c>
      <c r="L221" s="13"/>
      <c r="M221" s="13"/>
      <c r="N221" s="13"/>
    </row>
    <row r="222" spans="1:15">
      <c r="A222" s="114"/>
      <c r="B222" s="47"/>
      <c r="C222" s="524"/>
      <c r="D222" s="500"/>
      <c r="E222" s="496"/>
      <c r="F222" s="54"/>
      <c r="G222" s="54"/>
      <c r="H222" s="54"/>
      <c r="I222" s="54"/>
      <c r="J222" s="54"/>
      <c r="K222" s="550"/>
      <c r="L222" s="13"/>
      <c r="M222" s="13"/>
      <c r="N222" s="13"/>
    </row>
    <row r="223" spans="1:15">
      <c r="A223" s="497" t="s">
        <v>457</v>
      </c>
      <c r="B223" s="501"/>
      <c r="C223" s="524"/>
      <c r="D223" s="500"/>
      <c r="E223" s="496"/>
      <c r="F223" s="54"/>
      <c r="G223" s="54"/>
      <c r="H223" s="54"/>
      <c r="I223" s="54"/>
      <c r="J223" s="54"/>
      <c r="K223" s="550"/>
      <c r="L223" s="13"/>
      <c r="M223" s="13"/>
      <c r="N223" s="13"/>
    </row>
    <row r="224" spans="1:15">
      <c r="A224" s="497" t="s">
        <v>733</v>
      </c>
      <c r="B224" s="497" t="s">
        <v>1101</v>
      </c>
      <c r="C224" s="523"/>
      <c r="D224" s="503">
        <v>4000</v>
      </c>
      <c r="E224" s="122"/>
      <c r="F224" s="120"/>
      <c r="G224" s="120"/>
      <c r="H224" s="120"/>
      <c r="I224" s="54">
        <f>E224+G224</f>
        <v>0</v>
      </c>
      <c r="J224" s="54">
        <f>F224+H224</f>
        <v>0</v>
      </c>
      <c r="K224" s="550"/>
      <c r="L224" s="13"/>
      <c r="M224" s="13"/>
      <c r="N224" s="13"/>
    </row>
    <row r="225" spans="1:14">
      <c r="A225" s="497"/>
      <c r="B225" s="501"/>
      <c r="C225" s="511"/>
      <c r="D225" s="503"/>
      <c r="E225" s="496"/>
      <c r="F225" s="54"/>
      <c r="G225" s="54"/>
      <c r="H225" s="54"/>
      <c r="I225" s="54"/>
      <c r="J225" s="54"/>
      <c r="K225" s="550"/>
      <c r="L225" s="13"/>
      <c r="M225" s="13"/>
      <c r="N225" s="13"/>
    </row>
    <row r="226" spans="1:14">
      <c r="A226" s="497" t="s">
        <v>458</v>
      </c>
      <c r="B226" s="501"/>
      <c r="C226" s="511"/>
      <c r="D226" s="503"/>
      <c r="E226" s="496"/>
      <c r="F226" s="54"/>
      <c r="G226" s="54"/>
      <c r="H226" s="54"/>
      <c r="I226" s="54"/>
      <c r="J226" s="54"/>
      <c r="K226" s="550"/>
      <c r="L226" s="13"/>
      <c r="M226" s="13"/>
      <c r="N226" s="13"/>
    </row>
    <row r="227" spans="1:14">
      <c r="A227" s="497" t="s">
        <v>734</v>
      </c>
      <c r="B227" s="497" t="s">
        <v>1102</v>
      </c>
      <c r="C227" s="523"/>
      <c r="D227" s="503">
        <v>10000</v>
      </c>
      <c r="E227" s="122"/>
      <c r="F227" s="120"/>
      <c r="G227" s="120"/>
      <c r="H227" s="120"/>
      <c r="I227" s="54">
        <f>E227+G227</f>
        <v>0</v>
      </c>
      <c r="J227" s="54">
        <f>F227+H227</f>
        <v>0</v>
      </c>
      <c r="K227" s="550">
        <f>IF(E227&gt;0,D227,0)</f>
        <v>0</v>
      </c>
      <c r="L227" s="13"/>
      <c r="M227" s="13"/>
      <c r="N227" s="13"/>
    </row>
    <row r="228" spans="1:14">
      <c r="A228" s="497" t="s">
        <v>1103</v>
      </c>
      <c r="B228" s="497" t="s">
        <v>1104</v>
      </c>
      <c r="C228" s="523"/>
      <c r="D228" s="503">
        <v>1200</v>
      </c>
      <c r="E228" s="122"/>
      <c r="F228" s="120"/>
      <c r="G228" s="120"/>
      <c r="H228" s="120"/>
      <c r="I228" s="54">
        <f>E228+G228</f>
        <v>0</v>
      </c>
      <c r="J228" s="54">
        <f>F228+H228</f>
        <v>0</v>
      </c>
      <c r="K228" s="550"/>
      <c r="L228" s="13"/>
      <c r="M228" s="13"/>
      <c r="N228" s="13"/>
    </row>
    <row r="229" spans="1:14">
      <c r="A229" s="497"/>
      <c r="B229" s="501"/>
      <c r="C229" s="511"/>
      <c r="D229" s="503"/>
      <c r="E229" s="496"/>
      <c r="F229" s="54"/>
      <c r="G229" s="54"/>
      <c r="H229" s="54"/>
      <c r="I229" s="54"/>
      <c r="J229" s="54"/>
      <c r="K229" s="550"/>
      <c r="L229" s="13"/>
      <c r="M229" s="13"/>
      <c r="N229" s="13"/>
    </row>
    <row r="230" spans="1:14">
      <c r="A230" s="497" t="s">
        <v>459</v>
      </c>
      <c r="B230" s="501"/>
      <c r="C230" s="511"/>
      <c r="D230" s="503"/>
      <c r="E230" s="496"/>
      <c r="F230" s="54"/>
      <c r="G230" s="54"/>
      <c r="H230" s="54"/>
      <c r="I230" s="54"/>
      <c r="J230" s="54"/>
      <c r="K230" s="550"/>
      <c r="L230" s="13"/>
      <c r="M230" s="13"/>
      <c r="N230" s="13"/>
    </row>
    <row r="231" spans="1:14">
      <c r="A231" s="497" t="s">
        <v>735</v>
      </c>
      <c r="B231" s="497" t="s">
        <v>1105</v>
      </c>
      <c r="C231" s="523"/>
      <c r="D231" s="503">
        <v>4000</v>
      </c>
      <c r="E231" s="122"/>
      <c r="F231" s="120"/>
      <c r="G231" s="120"/>
      <c r="H231" s="120"/>
      <c r="I231" s="54">
        <f>E231+G231</f>
        <v>0</v>
      </c>
      <c r="J231" s="54">
        <f>F231+H231</f>
        <v>0</v>
      </c>
      <c r="K231" s="550">
        <f>IF(E231&gt;0,D231,0)</f>
        <v>0</v>
      </c>
      <c r="L231" s="13"/>
      <c r="M231" s="13"/>
      <c r="N231" s="13"/>
    </row>
    <row r="232" spans="1:14">
      <c r="A232" s="114"/>
      <c r="B232" s="47"/>
      <c r="C232" s="524"/>
      <c r="D232" s="500"/>
      <c r="E232" s="496"/>
      <c r="F232" s="54"/>
      <c r="G232" s="54"/>
      <c r="H232" s="54"/>
      <c r="I232" s="54"/>
      <c r="J232" s="54"/>
      <c r="K232" s="13"/>
      <c r="L232" s="13"/>
      <c r="M232" s="13"/>
      <c r="N232" s="13"/>
    </row>
    <row r="233" spans="1:14">
      <c r="A233" s="497" t="s">
        <v>460</v>
      </c>
      <c r="B233" s="501"/>
      <c r="C233" s="511"/>
      <c r="D233" s="503"/>
      <c r="E233" s="496"/>
      <c r="F233" s="54"/>
      <c r="G233" s="54"/>
      <c r="H233" s="54"/>
      <c r="I233" s="54"/>
      <c r="J233" s="54"/>
      <c r="K233" s="13"/>
      <c r="L233" s="13"/>
      <c r="M233" s="13"/>
      <c r="N233" s="13"/>
    </row>
    <row r="234" spans="1:14">
      <c r="A234" s="497" t="s">
        <v>736</v>
      </c>
      <c r="B234" s="497" t="s">
        <v>1106</v>
      </c>
      <c r="C234" s="523"/>
      <c r="D234" s="503">
        <v>3000</v>
      </c>
      <c r="E234" s="122"/>
      <c r="F234" s="120"/>
      <c r="G234" s="120"/>
      <c r="H234" s="120"/>
      <c r="I234" s="54">
        <f>E234+G234</f>
        <v>0</v>
      </c>
      <c r="J234" s="54">
        <f>F234+H234</f>
        <v>0</v>
      </c>
      <c r="K234" s="13"/>
      <c r="L234" s="13"/>
      <c r="M234" s="13"/>
      <c r="N234" s="13"/>
    </row>
    <row r="235" spans="1:14">
      <c r="A235" s="497"/>
      <c r="B235" s="501"/>
      <c r="C235" s="511"/>
      <c r="D235" s="503"/>
      <c r="E235" s="496"/>
      <c r="F235" s="54"/>
      <c r="G235" s="54"/>
      <c r="H235" s="54"/>
      <c r="I235" s="54"/>
      <c r="J235" s="54"/>
      <c r="K235" s="13"/>
      <c r="L235" s="13"/>
      <c r="M235" s="13"/>
      <c r="N235" s="13"/>
    </row>
    <row r="236" spans="1:14">
      <c r="A236" s="497" t="s">
        <v>969</v>
      </c>
      <c r="B236" s="501"/>
      <c r="C236" s="511"/>
      <c r="D236" s="503"/>
      <c r="E236" s="496"/>
      <c r="F236" s="54"/>
      <c r="G236" s="54"/>
      <c r="H236" s="54"/>
      <c r="I236" s="54"/>
      <c r="J236" s="54"/>
      <c r="K236" s="13"/>
      <c r="L236" s="13"/>
      <c r="M236" s="13"/>
      <c r="N236" s="13"/>
    </row>
    <row r="237" spans="1:14">
      <c r="A237" s="497" t="s">
        <v>1107</v>
      </c>
      <c r="B237" s="504" t="s">
        <v>971</v>
      </c>
      <c r="C237" s="511"/>
      <c r="D237" s="503">
        <v>850</v>
      </c>
      <c r="E237" s="122"/>
      <c r="F237" s="120"/>
      <c r="G237" s="120"/>
      <c r="H237" s="120"/>
      <c r="I237" s="54">
        <f t="shared" ref="I237:J239" si="13">E237+G237</f>
        <v>0</v>
      </c>
      <c r="J237" s="54">
        <f t="shared" si="13"/>
        <v>0</v>
      </c>
      <c r="K237" s="13"/>
      <c r="L237" s="13"/>
      <c r="M237" s="13"/>
      <c r="N237" s="13"/>
    </row>
    <row r="238" spans="1:14">
      <c r="A238" s="497" t="s">
        <v>1108</v>
      </c>
      <c r="B238" s="504" t="s">
        <v>1097</v>
      </c>
      <c r="C238" s="511"/>
      <c r="D238" s="503">
        <v>120</v>
      </c>
      <c r="E238" s="122"/>
      <c r="F238" s="120"/>
      <c r="G238" s="120"/>
      <c r="H238" s="120"/>
      <c r="I238" s="54">
        <f t="shared" si="13"/>
        <v>0</v>
      </c>
      <c r="J238" s="54">
        <f t="shared" si="13"/>
        <v>0</v>
      </c>
      <c r="K238" s="13"/>
      <c r="L238" s="13"/>
      <c r="M238" s="13"/>
      <c r="N238" s="13"/>
    </row>
    <row r="239" spans="1:14">
      <c r="A239" s="497" t="s">
        <v>1109</v>
      </c>
      <c r="B239" s="501" t="s">
        <v>323</v>
      </c>
      <c r="C239" s="511"/>
      <c r="D239" s="514">
        <v>200</v>
      </c>
      <c r="E239" s="122"/>
      <c r="F239" s="120"/>
      <c r="G239" s="120"/>
      <c r="H239" s="120"/>
      <c r="I239" s="54">
        <f t="shared" si="13"/>
        <v>0</v>
      </c>
      <c r="J239" s="54">
        <f t="shared" si="13"/>
        <v>0</v>
      </c>
      <c r="K239" s="13"/>
      <c r="L239" s="13"/>
      <c r="M239" s="13"/>
      <c r="N239" s="13"/>
    </row>
    <row r="242" spans="4:10">
      <c r="D242" s="121" t="s">
        <v>461</v>
      </c>
      <c r="E242" s="14">
        <f t="shared" ref="E242:J242" si="14">SUM(E10:E239)</f>
        <v>0</v>
      </c>
      <c r="F242" s="14">
        <f t="shared" si="14"/>
        <v>0</v>
      </c>
      <c r="G242" s="14">
        <f t="shared" si="14"/>
        <v>0</v>
      </c>
      <c r="H242" s="14">
        <f t="shared" si="14"/>
        <v>0</v>
      </c>
      <c r="I242" s="14">
        <f t="shared" si="14"/>
        <v>0</v>
      </c>
      <c r="J242" s="14">
        <f t="shared" si="14"/>
        <v>0</v>
      </c>
    </row>
  </sheetData>
  <sheetProtection selectLockedCells="1"/>
  <mergeCells count="19">
    <mergeCell ref="A219:N219"/>
    <mergeCell ref="A123:N123"/>
    <mergeCell ref="A150:N150"/>
    <mergeCell ref="A159:N159"/>
    <mergeCell ref="A168:N168"/>
    <mergeCell ref="A177:N177"/>
    <mergeCell ref="A201:N201"/>
    <mergeCell ref="A110:N110"/>
    <mergeCell ref="C1:D1"/>
    <mergeCell ref="C2:D2"/>
    <mergeCell ref="C3:D3"/>
    <mergeCell ref="C4:D4"/>
    <mergeCell ref="E6:F6"/>
    <mergeCell ref="G6:H6"/>
    <mergeCell ref="I6:J6"/>
    <mergeCell ref="K6:L6"/>
    <mergeCell ref="A8:N8"/>
    <mergeCell ref="A34:N34"/>
    <mergeCell ref="A70:N70"/>
  </mergeCells>
  <printOptions gridLines="1"/>
  <pageMargins left="0.75" right="0.5" top="1" bottom="0.75" header="0.5" footer="0.5"/>
  <pageSetup scale="76" fitToHeight="10" orientation="portrait" r:id="rId1"/>
  <headerFooter alignWithMargins="0">
    <oddHeader>&amp;C&amp;"Arial,Bold"&amp;11ARKANSAS SCHOOL FACILITY MANUAL
PROGRAM OF REQUIREMENTS
&amp;K01+000CAREER EDUCATION &amp;K000000Required for 9-12)
&amp;RPrinted on
&amp;D</oddHeader>
    <oddFooter xml:space="preserve">&amp;L&amp;8Division of Public School Academic Facilities and Transportation
&amp;C5600 - &amp;P&amp;R&amp;8Form Revised
April 2021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50"/>
    <pageSetUpPr fitToPage="1"/>
  </sheetPr>
  <dimension ref="A1:K87"/>
  <sheetViews>
    <sheetView tabSelected="1" topLeftCell="A23" workbookViewId="0">
      <selection activeCell="E45" sqref="E45:H45"/>
    </sheetView>
  </sheetViews>
  <sheetFormatPr defaultRowHeight="13.2"/>
  <cols>
    <col min="1" max="1" width="12.33203125" customWidth="1"/>
    <col min="2" max="2" width="32.33203125" customWidth="1"/>
    <col min="3" max="3" width="11" customWidth="1"/>
    <col min="4" max="4" width="7.88671875" customWidth="1"/>
    <col min="7" max="7" width="19.109375" customWidth="1"/>
    <col min="8" max="8" width="15.5546875" customWidth="1"/>
    <col min="9" max="9" width="16.44140625" customWidth="1"/>
  </cols>
  <sheetData>
    <row r="1" spans="1:11">
      <c r="A1" s="2"/>
      <c r="B1" s="440" t="s">
        <v>67</v>
      </c>
      <c r="C1" s="2"/>
      <c r="D1" s="2"/>
      <c r="E1" s="2"/>
      <c r="F1" s="2"/>
      <c r="G1" s="2"/>
      <c r="H1" s="2"/>
      <c r="I1" s="2"/>
      <c r="J1" s="2"/>
      <c r="K1" s="2"/>
    </row>
    <row r="2" spans="1:11">
      <c r="A2" s="894"/>
      <c r="B2" s="895"/>
      <c r="C2" s="441" t="s">
        <v>540</v>
      </c>
      <c r="D2" s="442"/>
      <c r="E2" s="2"/>
      <c r="F2" s="2"/>
      <c r="G2" s="2"/>
      <c r="H2" s="2"/>
      <c r="I2" s="2"/>
      <c r="J2" s="2"/>
      <c r="K2" s="2"/>
    </row>
    <row r="3" spans="1:11">
      <c r="A3" s="443" t="s">
        <v>70</v>
      </c>
      <c r="B3" s="443"/>
      <c r="C3" s="444" t="s">
        <v>64</v>
      </c>
      <c r="D3" s="445"/>
      <c r="E3" s="445" t="s">
        <v>541</v>
      </c>
      <c r="F3" s="2"/>
      <c r="G3" s="2"/>
      <c r="H3" s="2"/>
      <c r="I3" s="2"/>
      <c r="J3" s="2"/>
      <c r="K3" s="2"/>
    </row>
    <row r="4" spans="1:11">
      <c r="A4" s="443"/>
      <c r="B4" s="446" t="s">
        <v>16</v>
      </c>
      <c r="C4" s="445"/>
      <c r="D4" s="445"/>
      <c r="E4" s="2"/>
      <c r="F4" s="2"/>
      <c r="G4" s="2"/>
      <c r="H4" s="2"/>
      <c r="I4" s="2"/>
      <c r="J4" s="2"/>
      <c r="K4" s="2"/>
    </row>
    <row r="5" spans="1:11">
      <c r="A5" s="128" t="s">
        <v>73</v>
      </c>
      <c r="B5" s="118" t="s">
        <v>74</v>
      </c>
      <c r="C5" s="447">
        <v>1000</v>
      </c>
      <c r="D5" s="447"/>
      <c r="E5" s="448" t="s">
        <v>542</v>
      </c>
      <c r="F5" s="2"/>
      <c r="G5" s="2"/>
      <c r="H5" s="2"/>
      <c r="I5" s="2"/>
      <c r="J5" s="2"/>
      <c r="K5" s="2"/>
    </row>
    <row r="6" spans="1:11">
      <c r="A6" s="128" t="s">
        <v>75</v>
      </c>
      <c r="B6" s="118" t="s">
        <v>76</v>
      </c>
      <c r="C6" s="447">
        <v>45</v>
      </c>
      <c r="D6" s="447"/>
      <c r="E6" s="448" t="s">
        <v>543</v>
      </c>
      <c r="F6" s="2"/>
      <c r="G6" s="2"/>
      <c r="H6" s="2"/>
      <c r="I6" s="2"/>
      <c r="J6" s="2"/>
      <c r="K6" s="2"/>
    </row>
    <row r="7" spans="1:11">
      <c r="A7" s="128" t="s">
        <v>77</v>
      </c>
      <c r="B7" s="118" t="s">
        <v>78</v>
      </c>
      <c r="C7" s="447">
        <v>850</v>
      </c>
      <c r="D7" s="447"/>
      <c r="E7" s="448" t="s">
        <v>544</v>
      </c>
      <c r="F7" s="448"/>
      <c r="G7" s="448"/>
      <c r="H7" s="2"/>
      <c r="I7" s="2"/>
      <c r="J7" s="2"/>
      <c r="K7" s="2"/>
    </row>
    <row r="8" spans="1:11">
      <c r="A8" s="128" t="s">
        <v>79</v>
      </c>
      <c r="B8" s="118" t="s">
        <v>80</v>
      </c>
      <c r="C8" s="447">
        <v>850</v>
      </c>
      <c r="D8" s="447"/>
      <c r="E8" s="448" t="s">
        <v>545</v>
      </c>
      <c r="F8" s="2"/>
      <c r="G8" s="2"/>
      <c r="H8" s="2"/>
      <c r="I8" s="2"/>
      <c r="J8" s="2"/>
      <c r="K8" s="2"/>
    </row>
    <row r="9" spans="1:11">
      <c r="A9" s="128" t="s">
        <v>81</v>
      </c>
      <c r="B9" s="118" t="s">
        <v>82</v>
      </c>
      <c r="C9" s="447">
        <v>850</v>
      </c>
      <c r="D9" s="447"/>
      <c r="E9" s="448" t="s">
        <v>546</v>
      </c>
      <c r="F9" s="448"/>
      <c r="G9" s="448"/>
      <c r="H9" s="2"/>
      <c r="I9" s="2"/>
      <c r="J9" s="2"/>
      <c r="K9" s="2"/>
    </row>
    <row r="10" spans="1:11">
      <c r="A10" s="128" t="s">
        <v>83</v>
      </c>
      <c r="B10" s="118" t="s">
        <v>84</v>
      </c>
      <c r="C10" s="447">
        <v>850</v>
      </c>
      <c r="D10" s="447"/>
      <c r="E10" s="448" t="s">
        <v>547</v>
      </c>
      <c r="F10" s="448"/>
      <c r="G10" s="448"/>
      <c r="H10" s="2"/>
      <c r="I10" s="2"/>
      <c r="J10" s="2"/>
      <c r="K10" s="2"/>
    </row>
    <row r="11" spans="1:11">
      <c r="A11" s="2" t="s">
        <v>943</v>
      </c>
      <c r="B11" s="449" t="s">
        <v>85</v>
      </c>
      <c r="C11" s="450">
        <v>1300</v>
      </c>
      <c r="D11" s="450"/>
      <c r="E11" s="448" t="s">
        <v>548</v>
      </c>
      <c r="F11" s="449"/>
      <c r="G11" s="449"/>
      <c r="H11" s="449"/>
      <c r="I11" s="450"/>
      <c r="J11" s="450"/>
      <c r="K11" s="450"/>
    </row>
    <row r="12" spans="1:11">
      <c r="A12" s="128" t="s">
        <v>86</v>
      </c>
      <c r="B12" s="118" t="s">
        <v>87</v>
      </c>
      <c r="C12" s="451">
        <v>850</v>
      </c>
      <c r="D12" s="451"/>
      <c r="E12" s="448" t="s">
        <v>549</v>
      </c>
      <c r="F12" s="448"/>
      <c r="G12" s="448"/>
      <c r="H12" s="2"/>
      <c r="I12" s="2"/>
      <c r="J12" s="2"/>
      <c r="K12" s="2"/>
    </row>
    <row r="13" spans="1:11">
      <c r="A13" s="128" t="s">
        <v>88</v>
      </c>
      <c r="B13" s="118" t="s">
        <v>89</v>
      </c>
      <c r="C13" s="163">
        <v>1440</v>
      </c>
      <c r="D13" s="163"/>
      <c r="E13" s="448" t="s">
        <v>550</v>
      </c>
      <c r="F13" s="449"/>
      <c r="G13" s="449"/>
      <c r="H13" s="449"/>
      <c r="I13" s="450"/>
      <c r="J13" s="450"/>
      <c r="K13" s="450"/>
    </row>
    <row r="14" spans="1:11">
      <c r="A14" s="128" t="s">
        <v>90</v>
      </c>
      <c r="B14" s="118" t="s">
        <v>91</v>
      </c>
      <c r="C14" s="163">
        <v>1440</v>
      </c>
      <c r="D14" s="163"/>
      <c r="E14" s="448" t="s">
        <v>551</v>
      </c>
      <c r="F14" s="449"/>
      <c r="G14" s="449"/>
      <c r="H14" s="449"/>
      <c r="I14" s="450"/>
      <c r="J14" s="450"/>
      <c r="K14" s="450"/>
    </row>
    <row r="15" spans="1:11">
      <c r="A15" s="128" t="s">
        <v>92</v>
      </c>
      <c r="B15" s="118" t="s">
        <v>93</v>
      </c>
      <c r="C15" s="163">
        <v>1440</v>
      </c>
      <c r="D15" s="163"/>
      <c r="E15" s="448" t="s">
        <v>552</v>
      </c>
      <c r="F15" s="449"/>
      <c r="G15" s="449"/>
      <c r="H15" s="449"/>
      <c r="I15" s="450"/>
      <c r="J15" s="450"/>
      <c r="K15" s="450"/>
    </row>
    <row r="16" spans="1:11">
      <c r="A16" s="128" t="s">
        <v>94</v>
      </c>
      <c r="B16" s="118" t="s">
        <v>95</v>
      </c>
      <c r="C16" s="163">
        <v>300</v>
      </c>
      <c r="D16" s="163"/>
      <c r="E16" s="448"/>
      <c r="F16" s="449"/>
      <c r="G16" s="449"/>
      <c r="H16" s="449"/>
      <c r="I16" s="450"/>
      <c r="J16" s="450"/>
      <c r="K16" s="450"/>
    </row>
    <row r="17" spans="1:11">
      <c r="A17" s="128" t="s">
        <v>96</v>
      </c>
      <c r="B17" s="118" t="s">
        <v>97</v>
      </c>
      <c r="C17" s="163">
        <v>150</v>
      </c>
      <c r="D17" s="163"/>
      <c r="E17" s="448" t="s">
        <v>553</v>
      </c>
      <c r="F17" s="449"/>
      <c r="G17" s="449"/>
      <c r="H17" s="449"/>
      <c r="I17" s="450"/>
      <c r="J17" s="450"/>
      <c r="K17" s="450"/>
    </row>
    <row r="18" spans="1:11">
      <c r="A18" s="128" t="s">
        <v>98</v>
      </c>
      <c r="B18" s="118" t="s">
        <v>99</v>
      </c>
      <c r="C18" s="163">
        <v>1500</v>
      </c>
      <c r="D18" s="163"/>
      <c r="E18" s="448"/>
      <c r="F18" s="449"/>
      <c r="G18" s="449"/>
      <c r="H18" s="449"/>
      <c r="I18" s="450"/>
      <c r="J18" s="450"/>
      <c r="K18" s="450"/>
    </row>
    <row r="19" spans="1:11">
      <c r="A19" s="128" t="s">
        <v>100</v>
      </c>
      <c r="B19" s="118" t="s">
        <v>101</v>
      </c>
      <c r="C19" s="163">
        <v>850</v>
      </c>
      <c r="D19" s="163"/>
      <c r="E19" s="448"/>
      <c r="F19" s="449"/>
      <c r="G19" s="449"/>
      <c r="H19" s="449"/>
      <c r="I19" s="450"/>
      <c r="J19" s="450"/>
      <c r="K19" s="450"/>
    </row>
    <row r="20" spans="1:11">
      <c r="A20" s="128" t="s">
        <v>102</v>
      </c>
      <c r="B20" s="118" t="s">
        <v>103</v>
      </c>
      <c r="C20" s="163">
        <v>1100</v>
      </c>
      <c r="D20" s="163"/>
      <c r="E20" s="448" t="s">
        <v>552</v>
      </c>
      <c r="F20" s="449"/>
      <c r="G20" s="449"/>
      <c r="H20" s="449"/>
      <c r="I20" s="450"/>
      <c r="J20" s="450"/>
      <c r="K20" s="450"/>
    </row>
    <row r="21" spans="1:11">
      <c r="A21" s="2" t="s">
        <v>104</v>
      </c>
      <c r="B21" s="449" t="s">
        <v>105</v>
      </c>
      <c r="C21" s="152" t="s">
        <v>554</v>
      </c>
      <c r="D21" s="2"/>
      <c r="E21" s="452" t="s">
        <v>555</v>
      </c>
      <c r="F21" s="449"/>
      <c r="G21" s="449"/>
      <c r="H21" s="449"/>
      <c r="I21" s="450"/>
      <c r="J21" s="450"/>
      <c r="K21" s="450"/>
    </row>
    <row r="22" spans="1:11">
      <c r="A22" s="2" t="s">
        <v>106</v>
      </c>
      <c r="B22" s="449" t="s">
        <v>107</v>
      </c>
      <c r="C22" s="450">
        <v>900</v>
      </c>
      <c r="D22" s="450"/>
      <c r="E22" s="448"/>
      <c r="F22" s="2"/>
      <c r="G22" s="2"/>
      <c r="H22" s="2"/>
      <c r="I22" s="450"/>
      <c r="J22" s="450"/>
      <c r="K22" s="450"/>
    </row>
    <row r="23" spans="1:11">
      <c r="A23" s="2" t="s">
        <v>108</v>
      </c>
      <c r="B23" s="449" t="s">
        <v>105</v>
      </c>
      <c r="C23" s="152" t="s">
        <v>554</v>
      </c>
      <c r="D23" s="453"/>
      <c r="E23" s="452" t="s">
        <v>556</v>
      </c>
      <c r="F23" s="449"/>
      <c r="G23" s="449"/>
      <c r="H23" s="449"/>
      <c r="I23" s="450"/>
      <c r="J23" s="450"/>
      <c r="K23" s="450"/>
    </row>
    <row r="24" spans="1:11">
      <c r="A24" s="2" t="s">
        <v>109</v>
      </c>
      <c r="B24" s="449" t="s">
        <v>110</v>
      </c>
      <c r="C24" s="450">
        <v>900</v>
      </c>
      <c r="D24" s="450"/>
      <c r="E24" s="448"/>
      <c r="F24" s="449"/>
      <c r="G24" s="449"/>
      <c r="H24" s="449"/>
      <c r="I24" s="450"/>
      <c r="J24" s="450"/>
      <c r="K24" s="450"/>
    </row>
    <row r="25" spans="1:11">
      <c r="A25" s="128" t="s">
        <v>111</v>
      </c>
      <c r="B25" s="118" t="s">
        <v>112</v>
      </c>
      <c r="C25" s="2">
        <v>1200</v>
      </c>
      <c r="D25" s="2"/>
      <c r="E25" s="448" t="s">
        <v>557</v>
      </c>
      <c r="F25" s="449"/>
      <c r="G25" s="449"/>
      <c r="H25" s="449"/>
      <c r="I25" s="450"/>
      <c r="J25" s="450"/>
      <c r="K25" s="450"/>
    </row>
    <row r="26" spans="1:11">
      <c r="A26" s="128" t="s">
        <v>113</v>
      </c>
      <c r="B26" s="118" t="s">
        <v>114</v>
      </c>
      <c r="C26" s="164">
        <v>80</v>
      </c>
      <c r="D26" s="164"/>
      <c r="E26" s="448" t="s">
        <v>557</v>
      </c>
      <c r="F26" s="449"/>
      <c r="G26" s="449"/>
      <c r="H26" s="449"/>
      <c r="I26" s="450"/>
      <c r="J26" s="450"/>
      <c r="K26" s="450"/>
    </row>
    <row r="27" spans="1:11">
      <c r="A27" s="128" t="s">
        <v>115</v>
      </c>
      <c r="B27" s="118" t="s">
        <v>116</v>
      </c>
      <c r="C27" s="163">
        <v>1200</v>
      </c>
      <c r="D27" s="163"/>
      <c r="E27" s="448" t="s">
        <v>558</v>
      </c>
      <c r="F27" s="449"/>
      <c r="G27" s="449"/>
      <c r="H27" s="449"/>
      <c r="I27" s="450"/>
      <c r="J27" s="450"/>
      <c r="K27" s="450"/>
    </row>
    <row r="28" spans="1:11">
      <c r="A28" s="128" t="s">
        <v>117</v>
      </c>
      <c r="B28" s="118" t="s">
        <v>118</v>
      </c>
      <c r="C28" s="2">
        <v>100</v>
      </c>
      <c r="D28" s="2"/>
      <c r="E28" s="448" t="s">
        <v>559</v>
      </c>
      <c r="F28" s="449"/>
      <c r="G28" s="449"/>
      <c r="H28" s="449"/>
      <c r="I28" s="450"/>
      <c r="J28" s="450"/>
      <c r="K28" s="450"/>
    </row>
    <row r="29" spans="1:11">
      <c r="A29" s="128" t="s">
        <v>119</v>
      </c>
      <c r="B29" s="118" t="s">
        <v>112</v>
      </c>
      <c r="C29" s="2">
        <v>1200</v>
      </c>
      <c r="D29" s="2"/>
      <c r="E29" s="448"/>
      <c r="F29" s="449"/>
      <c r="G29" s="449"/>
      <c r="H29" s="449"/>
      <c r="I29" s="450"/>
      <c r="J29" s="450"/>
      <c r="K29" s="450"/>
    </row>
    <row r="30" spans="1:11">
      <c r="A30" s="128" t="s">
        <v>120</v>
      </c>
      <c r="B30" s="118" t="s">
        <v>112</v>
      </c>
      <c r="C30" s="2">
        <v>1200</v>
      </c>
      <c r="D30" s="2"/>
      <c r="E30" s="448" t="s">
        <v>560</v>
      </c>
      <c r="F30" s="449"/>
      <c r="G30" s="449"/>
      <c r="H30" s="449"/>
      <c r="I30" s="450"/>
      <c r="J30" s="450"/>
      <c r="K30" s="450"/>
    </row>
    <row r="31" spans="1:11">
      <c r="A31" s="128" t="s">
        <v>121</v>
      </c>
      <c r="B31" s="118" t="s">
        <v>114</v>
      </c>
      <c r="C31" s="164">
        <v>100</v>
      </c>
      <c r="D31" s="164"/>
      <c r="E31" s="448"/>
      <c r="F31" s="449"/>
      <c r="G31" s="449"/>
      <c r="H31" s="449"/>
      <c r="I31" s="450"/>
      <c r="J31" s="450"/>
      <c r="K31" s="450"/>
    </row>
    <row r="32" spans="1:11">
      <c r="A32" s="2" t="s">
        <v>122</v>
      </c>
      <c r="B32" s="449" t="s">
        <v>123</v>
      </c>
      <c r="C32" s="450">
        <v>1200</v>
      </c>
      <c r="D32" s="450"/>
      <c r="E32" s="448" t="s">
        <v>557</v>
      </c>
      <c r="F32" s="449"/>
      <c r="G32" s="449"/>
      <c r="H32" s="449"/>
      <c r="I32" s="450"/>
      <c r="J32" s="450"/>
      <c r="K32" s="450"/>
    </row>
    <row r="33" spans="1:11">
      <c r="A33" s="2" t="s">
        <v>124</v>
      </c>
      <c r="B33" s="449" t="s">
        <v>125</v>
      </c>
      <c r="C33" s="450">
        <v>100</v>
      </c>
      <c r="D33" s="450"/>
      <c r="E33" s="448" t="s">
        <v>557</v>
      </c>
      <c r="F33" s="449"/>
      <c r="G33" s="449"/>
      <c r="H33" s="449"/>
      <c r="I33" s="450"/>
      <c r="J33" s="450"/>
      <c r="K33" s="450"/>
    </row>
    <row r="34" spans="1:11">
      <c r="A34" s="2" t="s">
        <v>126</v>
      </c>
      <c r="B34" s="449" t="s">
        <v>125</v>
      </c>
      <c r="C34" s="450">
        <v>100</v>
      </c>
      <c r="D34" s="450"/>
      <c r="E34" s="448" t="s">
        <v>557</v>
      </c>
      <c r="F34" s="449"/>
      <c r="G34" s="449"/>
      <c r="H34" s="449"/>
      <c r="I34" s="450"/>
      <c r="J34" s="450"/>
      <c r="K34" s="450"/>
    </row>
    <row r="35" spans="1:11">
      <c r="A35" s="2" t="s">
        <v>127</v>
      </c>
      <c r="B35" s="449" t="s">
        <v>128</v>
      </c>
      <c r="C35" s="450">
        <v>1400</v>
      </c>
      <c r="D35" s="450"/>
      <c r="E35" s="448" t="s">
        <v>561</v>
      </c>
      <c r="F35" s="449"/>
      <c r="G35" s="449"/>
      <c r="H35" s="449"/>
      <c r="I35" s="450"/>
      <c r="J35" s="450"/>
      <c r="K35" s="450"/>
    </row>
    <row r="36" spans="1:11">
      <c r="A36" s="2" t="s">
        <v>129</v>
      </c>
      <c r="B36" s="449" t="s">
        <v>130</v>
      </c>
      <c r="C36" s="152" t="s">
        <v>554</v>
      </c>
      <c r="D36" s="450"/>
      <c r="E36" s="448" t="s">
        <v>562</v>
      </c>
      <c r="F36" s="449"/>
      <c r="G36" s="449"/>
      <c r="H36" s="449"/>
      <c r="I36" s="450"/>
      <c r="J36" s="450"/>
      <c r="K36" s="450"/>
    </row>
    <row r="37" spans="1:11">
      <c r="A37" s="2" t="s">
        <v>131</v>
      </c>
      <c r="B37" s="449" t="s">
        <v>132</v>
      </c>
      <c r="C37" s="450">
        <v>1200</v>
      </c>
      <c r="D37" s="450"/>
      <c r="E37" s="448" t="s">
        <v>563</v>
      </c>
      <c r="F37" s="449"/>
      <c r="G37" s="449"/>
      <c r="H37" s="449"/>
      <c r="I37" s="450"/>
      <c r="J37" s="450"/>
      <c r="K37" s="450"/>
    </row>
    <row r="38" spans="1:11">
      <c r="A38" s="2" t="s">
        <v>133</v>
      </c>
      <c r="B38" s="449" t="s">
        <v>132</v>
      </c>
      <c r="C38" s="450">
        <v>1200</v>
      </c>
      <c r="D38" s="450"/>
      <c r="E38" s="448" t="s">
        <v>564</v>
      </c>
      <c r="F38" s="449"/>
      <c r="G38" s="449"/>
      <c r="H38" s="449"/>
      <c r="I38" s="450"/>
      <c r="J38" s="450"/>
      <c r="K38" s="450"/>
    </row>
    <row r="39" spans="1:11">
      <c r="A39" s="2" t="s">
        <v>134</v>
      </c>
      <c r="B39" s="449" t="s">
        <v>135</v>
      </c>
      <c r="C39" s="450">
        <v>150</v>
      </c>
      <c r="D39" s="450"/>
      <c r="E39" s="448" t="s">
        <v>565</v>
      </c>
      <c r="F39" s="449"/>
      <c r="G39" s="449"/>
      <c r="H39" s="449"/>
      <c r="I39" s="450"/>
      <c r="J39" s="450"/>
      <c r="K39" s="450"/>
    </row>
    <row r="40" spans="1:11">
      <c r="A40" s="2" t="s">
        <v>136</v>
      </c>
      <c r="B40" s="449" t="s">
        <v>137</v>
      </c>
      <c r="C40" s="152" t="s">
        <v>554</v>
      </c>
      <c r="D40" s="2"/>
      <c r="E40" s="454" t="s">
        <v>595</v>
      </c>
      <c r="F40" s="2"/>
      <c r="G40" s="2"/>
      <c r="H40" s="2"/>
      <c r="I40" s="450"/>
      <c r="J40" s="450"/>
      <c r="K40" s="450"/>
    </row>
    <row r="41" spans="1:11">
      <c r="A41" s="2" t="s">
        <v>138</v>
      </c>
      <c r="B41" s="449" t="s">
        <v>137</v>
      </c>
      <c r="C41" s="152" t="s">
        <v>554</v>
      </c>
      <c r="D41" s="453"/>
      <c r="E41" s="454" t="s">
        <v>596</v>
      </c>
      <c r="F41" s="449"/>
      <c r="G41" s="449"/>
      <c r="H41" s="449"/>
      <c r="I41" s="450"/>
      <c r="J41" s="450"/>
      <c r="K41" s="450"/>
    </row>
    <row r="42" spans="1:11">
      <c r="A42" s="2" t="s">
        <v>139</v>
      </c>
      <c r="B42" s="449" t="s">
        <v>137</v>
      </c>
      <c r="C42" s="152" t="s">
        <v>554</v>
      </c>
      <c r="D42" s="453"/>
      <c r="E42" s="454" t="s">
        <v>597</v>
      </c>
      <c r="F42" s="449"/>
      <c r="G42" s="449"/>
      <c r="H42" s="449"/>
      <c r="I42" s="450"/>
      <c r="J42" s="450"/>
      <c r="K42" s="450"/>
    </row>
    <row r="43" spans="1:11">
      <c r="A43" s="2" t="s">
        <v>140</v>
      </c>
      <c r="B43" s="449" t="s">
        <v>141</v>
      </c>
      <c r="C43" s="152" t="s">
        <v>554</v>
      </c>
      <c r="D43" s="453"/>
      <c r="E43" s="448" t="s">
        <v>566</v>
      </c>
      <c r="F43" s="449"/>
      <c r="G43" s="449"/>
      <c r="H43" s="449"/>
      <c r="I43" s="450"/>
      <c r="J43" s="450"/>
      <c r="K43" s="450"/>
    </row>
    <row r="44" spans="1:11">
      <c r="A44" s="2" t="s">
        <v>142</v>
      </c>
      <c r="B44" s="449" t="s">
        <v>143</v>
      </c>
      <c r="C44" s="152" t="s">
        <v>554</v>
      </c>
      <c r="D44" s="453"/>
      <c r="E44" s="448" t="s">
        <v>567</v>
      </c>
      <c r="F44" s="449"/>
      <c r="G44" s="449"/>
      <c r="H44" s="449"/>
      <c r="I44" s="450"/>
      <c r="J44" s="450"/>
      <c r="K44" s="450"/>
    </row>
    <row r="45" spans="1:11">
      <c r="A45" s="551" t="s">
        <v>605</v>
      </c>
      <c r="B45" s="118" t="s">
        <v>944</v>
      </c>
      <c r="C45" s="152" t="s">
        <v>144</v>
      </c>
      <c r="D45" s="152"/>
      <c r="E45" s="552" t="s">
        <v>949</v>
      </c>
      <c r="F45" s="553"/>
      <c r="G45" s="553"/>
      <c r="H45" s="449"/>
      <c r="I45" s="450"/>
      <c r="J45" s="450"/>
      <c r="K45" s="450"/>
    </row>
    <row r="46" spans="1:11">
      <c r="A46" s="551" t="s">
        <v>605</v>
      </c>
      <c r="B46" s="118" t="s">
        <v>945</v>
      </c>
      <c r="C46" s="152" t="s">
        <v>144</v>
      </c>
      <c r="D46" s="152"/>
      <c r="E46" s="448"/>
      <c r="F46" s="449"/>
      <c r="G46" s="449"/>
      <c r="H46" s="449"/>
      <c r="I46" s="450"/>
      <c r="J46" s="450"/>
      <c r="K46" s="450"/>
    </row>
    <row r="47" spans="1:11">
      <c r="A47" s="551" t="s">
        <v>605</v>
      </c>
      <c r="B47" s="118" t="s">
        <v>946</v>
      </c>
      <c r="C47" s="152" t="s">
        <v>144</v>
      </c>
      <c r="D47" s="152"/>
      <c r="E47" s="448"/>
      <c r="F47" s="449"/>
      <c r="G47" s="449"/>
      <c r="H47" s="449"/>
      <c r="I47" s="450"/>
      <c r="J47" s="450"/>
      <c r="K47" s="450"/>
    </row>
    <row r="48" spans="1:11">
      <c r="A48" s="2"/>
      <c r="B48" s="440" t="s">
        <v>17</v>
      </c>
      <c r="C48" s="2"/>
      <c r="D48" s="2"/>
      <c r="E48" s="448"/>
      <c r="F48" s="2"/>
      <c r="G48" s="2"/>
      <c r="H48" s="2"/>
      <c r="I48" s="2"/>
      <c r="J48" s="2"/>
      <c r="K48" s="2"/>
    </row>
    <row r="49" spans="1:11">
      <c r="A49" s="2" t="s">
        <v>145</v>
      </c>
      <c r="B49" s="449" t="s">
        <v>146</v>
      </c>
      <c r="C49" s="164">
        <v>850</v>
      </c>
      <c r="D49" s="164"/>
      <c r="E49" s="448" t="s">
        <v>568</v>
      </c>
      <c r="F49" s="2"/>
      <c r="G49" s="2"/>
      <c r="H49" s="2"/>
      <c r="I49" s="2"/>
      <c r="J49" s="2"/>
      <c r="K49" s="2"/>
    </row>
    <row r="50" spans="1:11">
      <c r="A50" s="2" t="s">
        <v>147</v>
      </c>
      <c r="B50" s="449" t="s">
        <v>148</v>
      </c>
      <c r="C50" s="164">
        <v>150</v>
      </c>
      <c r="D50" s="164"/>
      <c r="E50" s="448" t="s">
        <v>568</v>
      </c>
      <c r="F50" s="2"/>
      <c r="G50" s="2"/>
      <c r="H50" s="2"/>
      <c r="I50" s="2"/>
      <c r="J50" s="2"/>
      <c r="K50" s="2"/>
    </row>
    <row r="51" spans="1:11">
      <c r="A51" s="2" t="s">
        <v>149</v>
      </c>
      <c r="B51" s="449" t="s">
        <v>150</v>
      </c>
      <c r="C51" s="164">
        <v>100</v>
      </c>
      <c r="D51" s="164"/>
      <c r="E51" s="448" t="s">
        <v>568</v>
      </c>
      <c r="F51" s="2"/>
      <c r="G51" s="2"/>
      <c r="H51" s="2"/>
      <c r="I51" s="2"/>
      <c r="J51" s="2"/>
      <c r="K51" s="2"/>
    </row>
    <row r="52" spans="1:11">
      <c r="A52" s="2" t="s">
        <v>151</v>
      </c>
      <c r="B52" s="449" t="s">
        <v>152</v>
      </c>
      <c r="C52" s="164">
        <v>450</v>
      </c>
      <c r="D52" s="164"/>
      <c r="E52" s="448" t="s">
        <v>568</v>
      </c>
      <c r="F52" s="2"/>
      <c r="G52" s="2"/>
      <c r="H52" s="2"/>
      <c r="I52" s="2"/>
      <c r="J52" s="2"/>
      <c r="K52" s="2"/>
    </row>
    <row r="53" spans="1:11">
      <c r="A53" s="2" t="s">
        <v>153</v>
      </c>
      <c r="B53" s="118" t="s">
        <v>154</v>
      </c>
      <c r="C53" s="164">
        <v>475</v>
      </c>
      <c r="D53" s="164"/>
      <c r="E53" s="448" t="s">
        <v>568</v>
      </c>
      <c r="F53" s="2"/>
      <c r="G53" s="2"/>
      <c r="H53" s="2"/>
      <c r="I53" s="2"/>
      <c r="J53" s="2"/>
      <c r="K53" s="2"/>
    </row>
    <row r="54" spans="1:11">
      <c r="A54" s="2" t="s">
        <v>155</v>
      </c>
      <c r="B54" s="118" t="s">
        <v>156</v>
      </c>
      <c r="C54" s="164">
        <v>350</v>
      </c>
      <c r="D54" s="164"/>
      <c r="E54" s="448" t="s">
        <v>568</v>
      </c>
      <c r="F54" s="2"/>
      <c r="G54" s="2"/>
      <c r="H54" s="2"/>
      <c r="I54" s="2"/>
      <c r="J54" s="2"/>
      <c r="K54" s="2"/>
    </row>
    <row r="55" spans="1:11">
      <c r="A55" s="455" t="s">
        <v>591</v>
      </c>
      <c r="B55" s="118" t="s">
        <v>592</v>
      </c>
      <c r="C55" s="164">
        <v>850</v>
      </c>
      <c r="D55" s="164"/>
      <c r="E55" s="448"/>
      <c r="F55" s="2"/>
      <c r="G55" s="2"/>
      <c r="H55" s="2"/>
      <c r="I55" s="2"/>
      <c r="J55" s="2"/>
      <c r="K55" s="2"/>
    </row>
    <row r="56" spans="1:11">
      <c r="A56" s="2"/>
      <c r="B56" s="440" t="s">
        <v>19</v>
      </c>
      <c r="C56" s="2"/>
      <c r="D56" s="2"/>
      <c r="E56" s="448"/>
      <c r="F56" s="2"/>
      <c r="G56" s="2"/>
      <c r="H56" s="2"/>
      <c r="I56" s="2"/>
      <c r="J56" s="2"/>
      <c r="K56" s="2"/>
    </row>
    <row r="57" spans="1:11">
      <c r="A57" s="2" t="s">
        <v>157</v>
      </c>
      <c r="B57" s="118" t="s">
        <v>158</v>
      </c>
      <c r="C57" s="450">
        <v>150</v>
      </c>
      <c r="D57" s="450"/>
      <c r="E57" s="448"/>
      <c r="F57" s="2"/>
      <c r="G57" s="2"/>
      <c r="H57" s="2"/>
      <c r="I57" s="2"/>
      <c r="J57" s="2"/>
      <c r="K57" s="2"/>
    </row>
    <row r="58" spans="1:11">
      <c r="A58" s="2" t="s">
        <v>159</v>
      </c>
      <c r="B58" s="118" t="s">
        <v>160</v>
      </c>
      <c r="C58" s="450">
        <v>120</v>
      </c>
      <c r="D58" s="450"/>
      <c r="E58" s="448" t="s">
        <v>569</v>
      </c>
      <c r="F58" s="2"/>
      <c r="G58" s="2"/>
      <c r="H58" s="2"/>
      <c r="I58" s="2"/>
      <c r="J58" s="2"/>
      <c r="K58" s="2"/>
    </row>
    <row r="59" spans="1:11">
      <c r="A59" s="2" t="s">
        <v>161</v>
      </c>
      <c r="B59" s="118" t="s">
        <v>162</v>
      </c>
      <c r="C59" s="450">
        <v>120</v>
      </c>
      <c r="D59" s="450"/>
      <c r="E59" s="448" t="s">
        <v>590</v>
      </c>
      <c r="F59" s="2"/>
      <c r="G59" s="2"/>
      <c r="H59" s="2"/>
      <c r="I59" s="2"/>
      <c r="J59" s="2"/>
      <c r="K59" s="2"/>
    </row>
    <row r="60" spans="1:11">
      <c r="A60" s="2" t="s">
        <v>163</v>
      </c>
      <c r="B60" s="118" t="s">
        <v>164</v>
      </c>
      <c r="C60" s="2">
        <v>250</v>
      </c>
      <c r="D60" s="2"/>
      <c r="E60" s="448"/>
      <c r="F60" s="2"/>
      <c r="G60" s="2"/>
      <c r="H60" s="2"/>
      <c r="I60" s="2"/>
      <c r="J60" s="2"/>
      <c r="K60" s="2"/>
    </row>
    <row r="61" spans="1:11">
      <c r="A61" s="2"/>
      <c r="B61" s="456" t="s">
        <v>165</v>
      </c>
      <c r="C61" s="2"/>
      <c r="D61" s="2"/>
      <c r="E61" s="448"/>
      <c r="F61" s="449"/>
      <c r="G61" s="449"/>
      <c r="H61" s="449"/>
      <c r="I61" s="450"/>
      <c r="J61" s="450"/>
      <c r="K61" s="450"/>
    </row>
    <row r="62" spans="1:11">
      <c r="A62" s="2" t="s">
        <v>166</v>
      </c>
      <c r="B62" s="449" t="s">
        <v>167</v>
      </c>
      <c r="C62" s="152" t="s">
        <v>554</v>
      </c>
      <c r="D62" s="453"/>
      <c r="E62" s="448" t="s">
        <v>584</v>
      </c>
      <c r="F62" s="449"/>
      <c r="G62" s="449"/>
      <c r="H62" s="449"/>
      <c r="I62" s="450"/>
      <c r="J62" s="450"/>
      <c r="K62" s="450"/>
    </row>
    <row r="63" spans="1:11">
      <c r="A63" s="2" t="s">
        <v>168</v>
      </c>
      <c r="B63" s="449" t="s">
        <v>169</v>
      </c>
      <c r="C63" s="152" t="s">
        <v>554</v>
      </c>
      <c r="D63" s="453"/>
      <c r="E63" s="448" t="s">
        <v>585</v>
      </c>
      <c r="F63" s="449"/>
      <c r="G63" s="449"/>
      <c r="H63" s="449"/>
      <c r="I63" s="450"/>
      <c r="J63" s="450"/>
      <c r="K63" s="450"/>
    </row>
    <row r="64" spans="1:11">
      <c r="A64" s="2"/>
      <c r="B64" s="456" t="s">
        <v>18</v>
      </c>
      <c r="C64" s="450"/>
      <c r="D64" s="450"/>
      <c r="E64" s="448"/>
      <c r="F64" s="2"/>
      <c r="G64" s="2"/>
      <c r="H64" s="2"/>
      <c r="I64" s="2"/>
      <c r="J64" s="2"/>
      <c r="K64" s="2"/>
    </row>
    <row r="65" spans="1:11">
      <c r="A65" s="128" t="s">
        <v>170</v>
      </c>
      <c r="B65" s="118" t="s">
        <v>171</v>
      </c>
      <c r="C65" s="152" t="s">
        <v>554</v>
      </c>
      <c r="D65" s="2"/>
      <c r="E65" s="448" t="s">
        <v>570</v>
      </c>
      <c r="F65" s="449"/>
      <c r="G65" s="449"/>
      <c r="H65" s="449"/>
      <c r="I65" s="450"/>
      <c r="J65" s="450"/>
      <c r="K65" s="450"/>
    </row>
    <row r="66" spans="1:11">
      <c r="A66" s="2"/>
      <c r="B66" s="440" t="s">
        <v>172</v>
      </c>
      <c r="C66" s="2"/>
      <c r="D66" s="2"/>
      <c r="E66" s="452" t="s">
        <v>571</v>
      </c>
      <c r="F66" s="449"/>
      <c r="G66" s="457"/>
      <c r="H66" s="449"/>
      <c r="I66" s="450"/>
      <c r="J66" s="458"/>
      <c r="K66" s="450"/>
    </row>
    <row r="67" spans="1:11">
      <c r="A67" s="128" t="s">
        <v>173</v>
      </c>
      <c r="B67" s="118" t="s">
        <v>46</v>
      </c>
      <c r="C67" s="152" t="s">
        <v>554</v>
      </c>
      <c r="D67" s="2"/>
      <c r="E67" s="448" t="s">
        <v>572</v>
      </c>
      <c r="F67" s="449"/>
      <c r="G67" s="457"/>
      <c r="H67" s="449"/>
      <c r="I67" s="450"/>
      <c r="J67" s="458"/>
      <c r="K67" s="450"/>
    </row>
    <row r="68" spans="1:11">
      <c r="A68" s="128" t="s">
        <v>174</v>
      </c>
      <c r="B68" s="118" t="s">
        <v>175</v>
      </c>
      <c r="C68" s="152" t="s">
        <v>554</v>
      </c>
      <c r="D68" s="2"/>
      <c r="E68" s="459" t="s">
        <v>573</v>
      </c>
      <c r="F68" s="449"/>
      <c r="G68" s="457"/>
      <c r="H68" s="449"/>
      <c r="I68" s="450"/>
      <c r="J68" s="458"/>
      <c r="K68" s="450"/>
    </row>
    <row r="69" spans="1:11">
      <c r="A69" s="128" t="s">
        <v>176</v>
      </c>
      <c r="B69" s="118" t="s">
        <v>177</v>
      </c>
      <c r="C69" s="152" t="s">
        <v>554</v>
      </c>
      <c r="D69" s="2"/>
      <c r="E69" s="452" t="s">
        <v>574</v>
      </c>
      <c r="F69" s="449"/>
      <c r="G69" s="457"/>
      <c r="H69" s="449"/>
      <c r="I69" s="450"/>
      <c r="J69" s="458"/>
      <c r="K69" s="450"/>
    </row>
    <row r="70" spans="1:11">
      <c r="A70" s="128" t="s">
        <v>178</v>
      </c>
      <c r="B70" s="118" t="s">
        <v>179</v>
      </c>
      <c r="C70" s="152" t="s">
        <v>554</v>
      </c>
      <c r="D70" s="2"/>
      <c r="E70" s="452" t="s">
        <v>575</v>
      </c>
      <c r="F70" s="449"/>
      <c r="G70" s="457"/>
      <c r="H70" s="449"/>
      <c r="I70" s="450"/>
      <c r="J70" s="458"/>
      <c r="K70" s="450"/>
    </row>
    <row r="71" spans="1:11">
      <c r="A71" s="128" t="s">
        <v>180</v>
      </c>
      <c r="B71" s="118" t="s">
        <v>181</v>
      </c>
      <c r="C71" s="152" t="s">
        <v>554</v>
      </c>
      <c r="D71" s="2"/>
      <c r="E71" s="452" t="s">
        <v>576</v>
      </c>
      <c r="F71" s="449"/>
      <c r="G71" s="457"/>
      <c r="H71" s="449"/>
      <c r="I71" s="450"/>
      <c r="J71" s="458"/>
      <c r="K71" s="450"/>
    </row>
    <row r="72" spans="1:11">
      <c r="A72" s="128" t="s">
        <v>182</v>
      </c>
      <c r="B72" s="118" t="s">
        <v>183</v>
      </c>
      <c r="C72" s="152" t="s">
        <v>554</v>
      </c>
      <c r="D72" s="2"/>
      <c r="E72" s="452" t="s">
        <v>577</v>
      </c>
      <c r="F72" s="449"/>
      <c r="G72" s="457"/>
      <c r="H72" s="449"/>
      <c r="I72" s="450"/>
      <c r="J72" s="458"/>
      <c r="K72" s="450"/>
    </row>
    <row r="73" spans="1:11">
      <c r="A73" s="128" t="s">
        <v>184</v>
      </c>
      <c r="B73" s="118" t="s">
        <v>185</v>
      </c>
      <c r="C73" s="152" t="s">
        <v>554</v>
      </c>
      <c r="D73" s="2"/>
      <c r="E73" s="452" t="s">
        <v>578</v>
      </c>
      <c r="F73" s="449"/>
      <c r="G73" s="457"/>
      <c r="H73" s="449"/>
      <c r="I73" s="450"/>
      <c r="J73" s="458"/>
      <c r="K73" s="450"/>
    </row>
    <row r="74" spans="1:11">
      <c r="A74" s="2"/>
      <c r="B74" s="440" t="s">
        <v>186</v>
      </c>
      <c r="C74" s="2"/>
      <c r="D74" s="2"/>
      <c r="E74" s="448"/>
      <c r="F74" s="2"/>
      <c r="G74" s="2"/>
      <c r="H74" s="2"/>
      <c r="I74" s="2"/>
      <c r="J74" s="2"/>
      <c r="K74" s="2"/>
    </row>
    <row r="75" spans="1:11">
      <c r="A75" s="2" t="s">
        <v>187</v>
      </c>
      <c r="B75" s="449" t="s">
        <v>188</v>
      </c>
      <c r="C75" s="152" t="s">
        <v>554</v>
      </c>
      <c r="D75" s="2"/>
      <c r="E75" s="448" t="s">
        <v>579</v>
      </c>
      <c r="F75" s="2"/>
      <c r="G75" s="2"/>
      <c r="H75" s="2"/>
      <c r="I75" s="2"/>
      <c r="J75" s="2"/>
      <c r="K75" s="2"/>
    </row>
    <row r="76" spans="1:11">
      <c r="A76" s="2" t="s">
        <v>189</v>
      </c>
      <c r="B76" s="128" t="s">
        <v>190</v>
      </c>
      <c r="C76" s="152" t="s">
        <v>554</v>
      </c>
      <c r="D76" s="460"/>
      <c r="E76" s="448" t="s">
        <v>580</v>
      </c>
      <c r="F76" s="2"/>
      <c r="G76" s="2"/>
      <c r="H76" s="2"/>
      <c r="I76" s="2"/>
      <c r="J76" s="2"/>
      <c r="K76" s="2"/>
    </row>
    <row r="77" spans="1:11">
      <c r="A77" s="128" t="s">
        <v>191</v>
      </c>
      <c r="B77" s="118" t="s">
        <v>192</v>
      </c>
      <c r="C77" s="152" t="s">
        <v>554</v>
      </c>
      <c r="D77" s="2"/>
      <c r="E77" s="459" t="s">
        <v>581</v>
      </c>
      <c r="F77" s="449"/>
      <c r="G77" s="449"/>
      <c r="H77" s="449"/>
      <c r="I77" s="450"/>
      <c r="J77" s="450"/>
      <c r="K77" s="450"/>
    </row>
    <row r="78" spans="1:11">
      <c r="A78" s="128" t="s">
        <v>193</v>
      </c>
      <c r="B78" s="118" t="s">
        <v>194</v>
      </c>
      <c r="C78" s="164">
        <v>50</v>
      </c>
      <c r="D78" s="164"/>
      <c r="E78" s="448"/>
      <c r="F78" s="2"/>
      <c r="G78" s="2"/>
      <c r="H78" s="2"/>
      <c r="I78" s="2"/>
      <c r="J78" s="2"/>
      <c r="K78" s="2"/>
    </row>
    <row r="79" spans="1:11">
      <c r="A79" s="128" t="s">
        <v>195</v>
      </c>
      <c r="B79" s="118" t="s">
        <v>196</v>
      </c>
      <c r="C79" s="164">
        <v>50</v>
      </c>
      <c r="D79" s="164"/>
      <c r="E79" s="448"/>
      <c r="F79" s="2"/>
      <c r="G79" s="2"/>
      <c r="H79" s="2"/>
      <c r="I79" s="2"/>
      <c r="J79" s="2"/>
      <c r="K79" s="2"/>
    </row>
    <row r="80" spans="1:11">
      <c r="A80" s="128" t="s">
        <v>197</v>
      </c>
      <c r="B80" s="118" t="s">
        <v>198</v>
      </c>
      <c r="C80" s="164">
        <v>64</v>
      </c>
      <c r="D80" s="164"/>
      <c r="E80" s="448"/>
      <c r="F80" s="2"/>
      <c r="G80" s="2"/>
      <c r="H80" s="2"/>
      <c r="I80" s="2"/>
      <c r="J80" s="2"/>
      <c r="K80" s="2"/>
    </row>
    <row r="81" spans="1:11">
      <c r="A81" s="128" t="s">
        <v>199</v>
      </c>
      <c r="B81" s="118" t="s">
        <v>200</v>
      </c>
      <c r="C81" s="152" t="s">
        <v>554</v>
      </c>
      <c r="D81" s="2"/>
      <c r="E81" s="459" t="s">
        <v>582</v>
      </c>
      <c r="F81" s="449"/>
      <c r="G81" s="449"/>
      <c r="H81" s="449"/>
      <c r="I81" s="450"/>
      <c r="J81" s="450"/>
      <c r="K81" s="450"/>
    </row>
    <row r="82" spans="1:11">
      <c r="A82" s="128" t="s">
        <v>201</v>
      </c>
      <c r="B82" s="118" t="s">
        <v>202</v>
      </c>
      <c r="C82" s="152" t="s">
        <v>554</v>
      </c>
      <c r="D82" s="2"/>
      <c r="E82" s="459" t="s">
        <v>583</v>
      </c>
      <c r="F82" s="449"/>
      <c r="G82" s="449"/>
      <c r="H82" s="449"/>
      <c r="I82" s="450"/>
      <c r="J82" s="450"/>
      <c r="K82" s="450"/>
    </row>
    <row r="83" spans="1:11">
      <c r="A83" s="128" t="s">
        <v>203</v>
      </c>
      <c r="B83" s="118" t="s">
        <v>204</v>
      </c>
      <c r="C83" s="2">
        <v>150</v>
      </c>
      <c r="D83" s="2"/>
      <c r="E83" s="448"/>
      <c r="F83" s="2"/>
      <c r="G83" s="2"/>
      <c r="H83" s="2"/>
      <c r="I83" s="2"/>
      <c r="J83" s="2"/>
      <c r="K83" s="2"/>
    </row>
    <row r="84" spans="1:11">
      <c r="A84" s="128" t="s">
        <v>205</v>
      </c>
      <c r="B84" s="118" t="s">
        <v>206</v>
      </c>
      <c r="C84" s="2">
        <v>150</v>
      </c>
      <c r="D84" s="2"/>
      <c r="E84" s="448"/>
      <c r="F84" s="2"/>
      <c r="G84" s="2"/>
      <c r="H84" s="2"/>
      <c r="I84" s="2"/>
      <c r="J84" s="2"/>
      <c r="K84" s="2"/>
    </row>
    <row r="85" spans="1:11">
      <c r="A85" s="128" t="s">
        <v>207</v>
      </c>
      <c r="B85" s="118" t="s">
        <v>208</v>
      </c>
      <c r="C85" s="2">
        <v>100</v>
      </c>
      <c r="D85" s="2"/>
      <c r="E85" s="448"/>
      <c r="F85" s="2"/>
      <c r="G85" s="2"/>
      <c r="H85" s="2"/>
      <c r="I85" s="2"/>
      <c r="J85" s="2"/>
      <c r="K85" s="2"/>
    </row>
    <row r="86" spans="1:11">
      <c r="A86" s="128" t="s">
        <v>209</v>
      </c>
      <c r="B86" s="118" t="s">
        <v>210</v>
      </c>
      <c r="C86" s="2">
        <v>150</v>
      </c>
      <c r="D86" s="2"/>
      <c r="E86" s="448"/>
      <c r="F86" s="2"/>
      <c r="G86" s="2"/>
      <c r="H86" s="2"/>
      <c r="I86" s="2"/>
      <c r="J86" s="2"/>
      <c r="K86" s="2"/>
    </row>
    <row r="87" spans="1:11">
      <c r="A87" s="2"/>
      <c r="B87" s="2"/>
      <c r="C87" s="2"/>
      <c r="D87" s="2"/>
      <c r="E87" s="2"/>
      <c r="F87" s="2"/>
      <c r="G87" s="2"/>
      <c r="H87" s="2"/>
      <c r="I87" s="2"/>
      <c r="J87" s="2"/>
      <c r="K87" s="2"/>
    </row>
  </sheetData>
  <mergeCells count="1">
    <mergeCell ref="A2:B2"/>
  </mergeCells>
  <pageMargins left="0.7" right="0.7" top="0.75" bottom="0.75" header="0.3" footer="0.3"/>
  <pageSetup scale="61" fitToHeight="0" orientation="portrait" r:id="rId1"/>
  <headerFooter>
    <oddFooter>&amp;RDecember 15,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11</vt:i4>
      </vt:variant>
    </vt:vector>
  </HeadingPairs>
  <TitlesOfParts>
    <vt:vector size="30" baseType="lpstr">
      <vt:lpstr>Do not use</vt:lpstr>
      <vt:lpstr>Rev Change Ntes</vt:lpstr>
      <vt:lpstr>Summary</vt:lpstr>
      <vt:lpstr>SuitabilityAnalysis</vt:lpstr>
      <vt:lpstr>SupportSpaces</vt:lpstr>
      <vt:lpstr>Career Education</vt:lpstr>
      <vt:lpstr>RequiredSpaces</vt:lpstr>
      <vt:lpstr>Career Ed Markout</vt:lpstr>
      <vt:lpstr>Space Note</vt:lpstr>
      <vt:lpstr>Average Means</vt:lpstr>
      <vt:lpstr>Decommissioning</vt:lpstr>
      <vt:lpstr>Data</vt:lpstr>
      <vt:lpstr>Conversions</vt:lpstr>
      <vt:lpstr>SQFTG </vt:lpstr>
      <vt:lpstr>ENROLLMENT</vt:lpstr>
      <vt:lpstr>SUITABILITY</vt:lpstr>
      <vt:lpstr>DEPRECIATION AVERAGE</vt:lpstr>
      <vt:lpstr>NEW SCHOOL Average Means</vt:lpstr>
      <vt:lpstr>New school sheet</vt:lpstr>
      <vt:lpstr>'Career Ed Markout'!Print_Area</vt:lpstr>
      <vt:lpstr>'Career Education'!Print_Area</vt:lpstr>
      <vt:lpstr>'Do not use'!Print_Area</vt:lpstr>
      <vt:lpstr>RequiredSpaces!Print_Area</vt:lpstr>
      <vt:lpstr>Summary!Print_Area</vt:lpstr>
      <vt:lpstr>SupportSpaces!Print_Area</vt:lpstr>
      <vt:lpstr>'Career Ed Markout'!Print_Titles</vt:lpstr>
      <vt:lpstr>'Career Education'!Print_Titles</vt:lpstr>
      <vt:lpstr>'Do not use'!Print_Titles</vt:lpstr>
      <vt:lpstr>Summary!Print_Titles</vt:lpstr>
      <vt:lpstr>SupportSpaces!Print_Titles</vt:lpstr>
    </vt:vector>
  </TitlesOfParts>
  <Company>ADE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dc:creator>
  <cp:lastModifiedBy>Carol Bowman (ADE)</cp:lastModifiedBy>
  <cp:lastPrinted>2022-03-18T14:02:51Z</cp:lastPrinted>
  <dcterms:created xsi:type="dcterms:W3CDTF">2007-08-16T18:38:00Z</dcterms:created>
  <dcterms:modified xsi:type="dcterms:W3CDTF">2022-03-18T17:54:19Z</dcterms:modified>
</cp:coreProperties>
</file>